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miltonlobo\desenv\scilab_mip\dados\"/>
    </mc:Choice>
  </mc:AlternateContent>
  <xr:revisionPtr revIDLastSave="0" documentId="13_ncr:1_{4C492623-3835-4CB3-A2DE-80EDC71FA8CB}" xr6:coauthVersionLast="47" xr6:coauthVersionMax="47" xr10:uidLastSave="{00000000-0000-0000-0000-000000000000}"/>
  <bookViews>
    <workbookView xWindow="-98" yWindow="-98" windowWidth="21795" windowHeight="12975" tabRatio="819" firstSheet="11" activeTab="16" xr2:uid="{EC66F06D-1AD1-422E-AD7F-A1F67AE153D1}"/>
  </bookViews>
  <sheets>
    <sheet name="Aux" sheetId="14" state="hidden" r:id="rId1"/>
    <sheet name="Introdução" sheetId="73" r:id="rId2"/>
    <sheet name="Etapa 1-&gt;" sheetId="100" r:id="rId3"/>
    <sheet name="Output_Etapa1" sheetId="88" r:id="rId4"/>
    <sheet name="Cenario A ranking setor PIB" sheetId="97" r:id="rId5"/>
    <sheet name="Cenario B benchmark va" sheetId="18" r:id="rId6"/>
    <sheet name="Food" sheetId="82" r:id="rId7"/>
    <sheet name="Chemical" sheetId="80" r:id="rId8"/>
    <sheet name="Basic metals" sheetId="85" r:id="rId9"/>
    <sheet name="Motor vehicles" sheetId="87" r:id="rId10"/>
    <sheet name="Machinery" sheetId="86" r:id="rId11"/>
    <sheet name="Eletrical" sheetId="84" r:id="rId12"/>
    <sheet name="Pharma" sheetId="79" r:id="rId13"/>
    <sheet name="Other transport" sheetId="83" r:id="rId14"/>
    <sheet name="Eletronic" sheetId="81" r:id="rId15"/>
    <sheet name="Etapa 2-&gt;" sheetId="101" r:id="rId16"/>
    <sheet name="Output_Etapa2" sheetId="65" r:id="rId17"/>
    <sheet name="1.1. Agricultura de precisão " sheetId="39" r:id="rId18"/>
    <sheet name="1.2. Máquinas agrícolas" sheetId="30" r:id="rId19"/>
    <sheet name="1.3. (Bio) Fertilizantes" sheetId="21" r:id="rId20"/>
    <sheet name="2.1. Princípio ativo" sheetId="41" r:id="rId21"/>
    <sheet name="2.2. Biofármacos e vacinas" sheetId="28" r:id="rId22"/>
    <sheet name="2.3.Eq médicos de imagem" sheetId="27" r:id="rId23"/>
    <sheet name="3.3. Metroferroviários" sheetId="34" r:id="rId24"/>
    <sheet name="4.1. Semicondutores" sheetId="35" r:id="rId25"/>
    <sheet name="4.2. Robos Industriais" sheetId="36" r:id="rId26"/>
    <sheet name="5.1.Biocombustíveis" sheetId="64" r:id="rId27"/>
    <sheet name="5.2.Descarb Siderurgia" sheetId="63" r:id="rId28"/>
    <sheet name="5.2.Descarb Alumínio" sheetId="66" r:id="rId29"/>
    <sheet name="5.3.Descarb Cimento" sheetId="96" r:id="rId30"/>
    <sheet name="5.3.Paineis solares" sheetId="57" r:id="rId31"/>
    <sheet name="5.3.Aerogeradores" sheetId="53" r:id="rId32"/>
    <sheet name="5.4.Hidrogênio Verde" sheetId="62" r:id="rId33"/>
    <sheet name="6.1. Satélite" sheetId="46" r:id="rId34"/>
    <sheet name="6.2. Radares" sheetId="50" r:id="rId35"/>
    <sheet name="Etapa 3-&gt;" sheetId="102" r:id="rId36"/>
    <sheet name="Multiplicadores" sheetId="104" r:id="rId37"/>
    <sheet name="MIP" sheetId="103" r:id="rId38"/>
    <sheet name="Dados -&gt;" sheetId="78" r:id="rId39"/>
    <sheet name="Dados IBGE - VPB" sheetId="42" r:id="rId40"/>
    <sheet name="Dados IBGE - CI" sheetId="44" r:id="rId41"/>
    <sheet name="Dados IBGE - VA" sheetId="48" r:id="rId42"/>
    <sheet name="Base de dados IHS" sheetId="75" r:id="rId43"/>
    <sheet name="Base GDP" sheetId="93" r:id="rId44"/>
    <sheet name="Proporção drones" sheetId="61" state="hidden" r:id="rId45"/>
    <sheet name="Proporção Eq energia verde" sheetId="54" state="hidden" r:id="rId46"/>
    <sheet name="Codigos Setores e nichos " sheetId="56" state="hidden" r:id="rId47"/>
    <sheet name="Proporção satelites" sheetId="47" state="hidden" r:id="rId48"/>
    <sheet name="proporção radares" sheetId="51" state="hidden" r:id="rId49"/>
  </sheets>
  <definedNames>
    <definedName name="_xlnm._FilterDatabase" localSheetId="42" hidden="1">'Base de dados IHS'!$A$1:$Q$676</definedName>
    <definedName name="_xlnm._FilterDatabase" localSheetId="43" hidden="1">'Base GDP'!$A$1:$E$76</definedName>
    <definedName name="_xlnm._FilterDatabase" localSheetId="8" hidden="1">'Basic metals'!$A$1:$T$76</definedName>
    <definedName name="_xlnm._FilterDatabase" localSheetId="7" hidden="1">Chemical!$A$1:$T$76</definedName>
    <definedName name="_xlnm._FilterDatabase" localSheetId="11" hidden="1">Eletrical!$A$1:$T$76</definedName>
    <definedName name="_xlnm._FilterDatabase" localSheetId="14" hidden="1">Eletronic!$A$1:$T$76</definedName>
    <definedName name="_xlnm._FilterDatabase" localSheetId="6" hidden="1">Food!$A$1:$T$76</definedName>
    <definedName name="_xlnm._FilterDatabase" localSheetId="10" hidden="1">Machinery!$A$1:$T$76</definedName>
    <definedName name="_xlnm._FilterDatabase" localSheetId="9" hidden="1">'Motor vehicles'!$A$1:$T$76</definedName>
    <definedName name="_xlnm._FilterDatabase" localSheetId="13" hidden="1">'Other transport'!$A$1:$T$76</definedName>
    <definedName name="_xlnm._FilterDatabase" localSheetId="12" hidden="1">Pharma!$A$1:$T$76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65" l="1"/>
  <c r="G50" i="65"/>
  <c r="H50" i="65"/>
  <c r="I50" i="65"/>
  <c r="E50" i="65"/>
  <c r="F49" i="65"/>
  <c r="G49" i="65"/>
  <c r="H49" i="65"/>
  <c r="I49" i="65"/>
  <c r="E49" i="65"/>
  <c r="F48" i="65"/>
  <c r="G48" i="65"/>
  <c r="H48" i="65"/>
  <c r="I48" i="65"/>
  <c r="E48" i="65"/>
  <c r="E31" i="65"/>
  <c r="F47" i="65"/>
  <c r="G47" i="65"/>
  <c r="H47" i="65"/>
  <c r="I47" i="65"/>
  <c r="E47" i="65"/>
  <c r="F46" i="65"/>
  <c r="G46" i="65"/>
  <c r="H46" i="65"/>
  <c r="I46" i="65"/>
  <c r="E46" i="65"/>
  <c r="F45" i="65"/>
  <c r="G45" i="65"/>
  <c r="H45" i="65"/>
  <c r="I45" i="65"/>
  <c r="E45" i="65"/>
  <c r="F44" i="65"/>
  <c r="G44" i="65"/>
  <c r="H44" i="65"/>
  <c r="I44" i="65"/>
  <c r="E44" i="65"/>
  <c r="F43" i="65"/>
  <c r="G43" i="65"/>
  <c r="H43" i="65"/>
  <c r="I43" i="65"/>
  <c r="E43" i="65"/>
  <c r="F41" i="65"/>
  <c r="G41" i="65"/>
  <c r="H41" i="65"/>
  <c r="I41" i="65"/>
  <c r="E41" i="65"/>
  <c r="F40" i="65"/>
  <c r="G40" i="65"/>
  <c r="H40" i="65"/>
  <c r="I40" i="65"/>
  <c r="E40" i="65"/>
  <c r="F39" i="65"/>
  <c r="G39" i="65"/>
  <c r="H39" i="65"/>
  <c r="I39" i="65"/>
  <c r="E39" i="65"/>
  <c r="F38" i="65"/>
  <c r="G38" i="65"/>
  <c r="H38" i="65"/>
  <c r="I38" i="65"/>
  <c r="E38" i="65"/>
  <c r="F37" i="65"/>
  <c r="G37" i="65"/>
  <c r="H37" i="65"/>
  <c r="I37" i="65"/>
  <c r="E37" i="65"/>
  <c r="F36" i="65"/>
  <c r="G36" i="65"/>
  <c r="H36" i="65"/>
  <c r="I36" i="65"/>
  <c r="E36" i="65"/>
  <c r="F35" i="65"/>
  <c r="G35" i="65"/>
  <c r="H35" i="65"/>
  <c r="I35" i="65"/>
  <c r="E35" i="65"/>
  <c r="E34" i="65"/>
  <c r="G34" i="65"/>
  <c r="H34" i="65"/>
  <c r="I34" i="65"/>
  <c r="F34" i="65"/>
  <c r="I33" i="65"/>
  <c r="G33" i="65"/>
  <c r="H33" i="65"/>
  <c r="F33" i="65"/>
  <c r="E33" i="65"/>
  <c r="C119" i="97"/>
  <c r="D119" i="97"/>
  <c r="E119" i="97"/>
  <c r="F119" i="97"/>
  <c r="G119" i="97"/>
  <c r="H119" i="97"/>
  <c r="I119" i="97"/>
  <c r="C120" i="97"/>
  <c r="D120" i="97"/>
  <c r="E120" i="97"/>
  <c r="F120" i="97"/>
  <c r="G120" i="97"/>
  <c r="H120" i="97"/>
  <c r="I120" i="97"/>
  <c r="C121" i="97"/>
  <c r="D121" i="97"/>
  <c r="E121" i="97"/>
  <c r="F121" i="97"/>
  <c r="G121" i="97"/>
  <c r="H121" i="97"/>
  <c r="I121" i="97"/>
  <c r="C122" i="97"/>
  <c r="D122" i="97"/>
  <c r="E122" i="97"/>
  <c r="F122" i="97"/>
  <c r="G122" i="97"/>
  <c r="H122" i="97"/>
  <c r="I122" i="97"/>
  <c r="C123" i="97"/>
  <c r="D123" i="97"/>
  <c r="E123" i="97"/>
  <c r="F123" i="97"/>
  <c r="G123" i="97"/>
  <c r="H123" i="97"/>
  <c r="I123" i="97"/>
  <c r="C124" i="97"/>
  <c r="D124" i="97"/>
  <c r="E124" i="97"/>
  <c r="F124" i="97"/>
  <c r="G124" i="97"/>
  <c r="H124" i="97"/>
  <c r="I124" i="97"/>
  <c r="C125" i="97"/>
  <c r="D125" i="97"/>
  <c r="E125" i="97"/>
  <c r="F125" i="97"/>
  <c r="G125" i="97"/>
  <c r="H125" i="97"/>
  <c r="I125" i="97"/>
  <c r="C126" i="97"/>
  <c r="D126" i="97"/>
  <c r="E126" i="97"/>
  <c r="F126" i="97"/>
  <c r="G126" i="97"/>
  <c r="H126" i="97"/>
  <c r="I126" i="97"/>
  <c r="C127" i="97"/>
  <c r="D127" i="97"/>
  <c r="E127" i="97"/>
  <c r="F127" i="97"/>
  <c r="G127" i="97"/>
  <c r="H127" i="97"/>
  <c r="I127" i="97"/>
  <c r="I118" i="97"/>
  <c r="H118" i="97"/>
  <c r="G118" i="97"/>
  <c r="F118" i="97"/>
  <c r="E118" i="97"/>
  <c r="D118" i="97"/>
  <c r="C118" i="97"/>
  <c r="C105" i="97"/>
  <c r="D105" i="97"/>
  <c r="C106" i="97"/>
  <c r="D106" i="97"/>
  <c r="C107" i="97"/>
  <c r="D107" i="97"/>
  <c r="C108" i="97"/>
  <c r="D108" i="97"/>
  <c r="C109" i="97"/>
  <c r="D109" i="97"/>
  <c r="C110" i="97"/>
  <c r="D110" i="97"/>
  <c r="C111" i="97"/>
  <c r="D111" i="97"/>
  <c r="C112" i="97"/>
  <c r="D112" i="97"/>
  <c r="C113" i="97"/>
  <c r="D113" i="97"/>
  <c r="D104" i="97"/>
  <c r="C104" i="97"/>
  <c r="I99" i="97"/>
  <c r="H99" i="97"/>
  <c r="G99" i="97"/>
  <c r="F99" i="97"/>
  <c r="E99" i="97"/>
  <c r="D99" i="97"/>
  <c r="C99" i="97"/>
  <c r="I98" i="97"/>
  <c r="H98" i="97"/>
  <c r="G98" i="97"/>
  <c r="F98" i="97"/>
  <c r="E98" i="97"/>
  <c r="D98" i="97"/>
  <c r="C98" i="97"/>
  <c r="I97" i="97"/>
  <c r="H97" i="97"/>
  <c r="G97" i="97"/>
  <c r="F97" i="97"/>
  <c r="E97" i="97"/>
  <c r="D97" i="97"/>
  <c r="C97" i="97"/>
  <c r="I96" i="97"/>
  <c r="H96" i="97"/>
  <c r="G96" i="97"/>
  <c r="F96" i="97"/>
  <c r="E96" i="97"/>
  <c r="D96" i="97"/>
  <c r="C96" i="97"/>
  <c r="I95" i="97"/>
  <c r="H95" i="97"/>
  <c r="G95" i="97"/>
  <c r="F95" i="97"/>
  <c r="E95" i="97"/>
  <c r="D95" i="97"/>
  <c r="C95" i="97"/>
  <c r="I94" i="97"/>
  <c r="H94" i="97"/>
  <c r="G94" i="97"/>
  <c r="F94" i="97"/>
  <c r="E94" i="97"/>
  <c r="D94" i="97"/>
  <c r="C94" i="97"/>
  <c r="I93" i="97"/>
  <c r="H93" i="97"/>
  <c r="G93" i="97"/>
  <c r="F93" i="97"/>
  <c r="E93" i="97"/>
  <c r="D93" i="97"/>
  <c r="C93" i="97"/>
  <c r="I92" i="97"/>
  <c r="H92" i="97"/>
  <c r="G92" i="97"/>
  <c r="F92" i="97"/>
  <c r="E92" i="97"/>
  <c r="D92" i="97"/>
  <c r="C92" i="97"/>
  <c r="I91" i="97"/>
  <c r="H91" i="97"/>
  <c r="G91" i="97"/>
  <c r="F91" i="97"/>
  <c r="E91" i="97"/>
  <c r="D91" i="97"/>
  <c r="C91" i="97"/>
  <c r="I90" i="97"/>
  <c r="H90" i="97"/>
  <c r="G90" i="97"/>
  <c r="F90" i="97"/>
  <c r="E90" i="97"/>
  <c r="D90" i="97"/>
  <c r="C90" i="97"/>
  <c r="C77" i="97"/>
  <c r="D77" i="97"/>
  <c r="C78" i="97"/>
  <c r="D78" i="97"/>
  <c r="C79" i="97"/>
  <c r="D79" i="97"/>
  <c r="C80" i="97"/>
  <c r="D80" i="97"/>
  <c r="C81" i="97"/>
  <c r="D81" i="97"/>
  <c r="C82" i="97"/>
  <c r="D82" i="97"/>
  <c r="C83" i="97"/>
  <c r="D83" i="97"/>
  <c r="C84" i="97"/>
  <c r="D84" i="97"/>
  <c r="C85" i="97"/>
  <c r="D85" i="97"/>
  <c r="D76" i="97"/>
  <c r="C76" i="97"/>
  <c r="C63" i="97"/>
  <c r="D63" i="97"/>
  <c r="C64" i="97"/>
  <c r="D64" i="97"/>
  <c r="C65" i="97"/>
  <c r="D65" i="97"/>
  <c r="C66" i="97"/>
  <c r="D66" i="97"/>
  <c r="C67" i="97"/>
  <c r="D67" i="97"/>
  <c r="C68" i="97"/>
  <c r="D68" i="97"/>
  <c r="C69" i="97"/>
  <c r="D69" i="97"/>
  <c r="C70" i="97"/>
  <c r="D70" i="97"/>
  <c r="C71" i="97"/>
  <c r="D71" i="97"/>
  <c r="D62" i="97"/>
  <c r="C62" i="97"/>
  <c r="C49" i="97"/>
  <c r="D49" i="97"/>
  <c r="C50" i="97"/>
  <c r="D50" i="97"/>
  <c r="C51" i="97"/>
  <c r="D51" i="97"/>
  <c r="C52" i="97"/>
  <c r="D52" i="97"/>
  <c r="C53" i="97"/>
  <c r="D53" i="97"/>
  <c r="C54" i="97"/>
  <c r="D54" i="97"/>
  <c r="C55" i="97"/>
  <c r="D55" i="97"/>
  <c r="C56" i="97"/>
  <c r="D56" i="97"/>
  <c r="C57" i="97"/>
  <c r="D57" i="97"/>
  <c r="D48" i="97"/>
  <c r="C48" i="97"/>
  <c r="L34" i="97"/>
  <c r="C35" i="97"/>
  <c r="D35" i="97"/>
  <c r="C36" i="97"/>
  <c r="D36" i="97"/>
  <c r="C37" i="97"/>
  <c r="D37" i="97"/>
  <c r="C38" i="97"/>
  <c r="D38" i="97"/>
  <c r="C39" i="97"/>
  <c r="D39" i="97"/>
  <c r="C40" i="97"/>
  <c r="D40" i="97"/>
  <c r="C41" i="97"/>
  <c r="D41" i="97"/>
  <c r="C42" i="97"/>
  <c r="D42" i="97"/>
  <c r="C43" i="97"/>
  <c r="D43" i="97"/>
  <c r="D34" i="97"/>
  <c r="C34" i="97"/>
  <c r="C21" i="97"/>
  <c r="D21" i="97"/>
  <c r="C22" i="97"/>
  <c r="D22" i="97"/>
  <c r="C23" i="97"/>
  <c r="D23" i="97"/>
  <c r="C24" i="97"/>
  <c r="D24" i="97"/>
  <c r="C25" i="97"/>
  <c r="D25" i="97"/>
  <c r="C26" i="97"/>
  <c r="D26" i="97"/>
  <c r="C27" i="97"/>
  <c r="D27" i="97"/>
  <c r="C28" i="97"/>
  <c r="D28" i="97"/>
  <c r="C29" i="97"/>
  <c r="D29" i="97"/>
  <c r="D20" i="97"/>
  <c r="C20" i="97"/>
  <c r="G15" i="97"/>
  <c r="H15" i="97"/>
  <c r="I15" i="97"/>
  <c r="F7" i="97"/>
  <c r="F8" i="97"/>
  <c r="F9" i="97"/>
  <c r="F10" i="97"/>
  <c r="F11" i="97"/>
  <c r="F12" i="97"/>
  <c r="F13" i="97"/>
  <c r="F14" i="97"/>
  <c r="F15" i="97"/>
  <c r="G7" i="97"/>
  <c r="H7" i="97"/>
  <c r="I7" i="97"/>
  <c r="G8" i="97"/>
  <c r="H8" i="97"/>
  <c r="I8" i="97"/>
  <c r="G9" i="97"/>
  <c r="H9" i="97"/>
  <c r="I9" i="97"/>
  <c r="G10" i="97"/>
  <c r="H10" i="97"/>
  <c r="I10" i="97"/>
  <c r="G11" i="97"/>
  <c r="H11" i="97"/>
  <c r="I11" i="97"/>
  <c r="G12" i="97"/>
  <c r="H12" i="97"/>
  <c r="I12" i="97"/>
  <c r="G13" i="97"/>
  <c r="H13" i="97"/>
  <c r="I13" i="97"/>
  <c r="G14" i="97"/>
  <c r="H14" i="97"/>
  <c r="I14" i="97"/>
  <c r="I6" i="97"/>
  <c r="H6" i="97"/>
  <c r="G6" i="97"/>
  <c r="F6" i="97"/>
  <c r="E6" i="97"/>
  <c r="E7" i="97"/>
  <c r="E8" i="97"/>
  <c r="E9" i="97"/>
  <c r="E10" i="97"/>
  <c r="E11" i="97"/>
  <c r="E12" i="97"/>
  <c r="E13" i="97"/>
  <c r="E14" i="97"/>
  <c r="E15" i="97"/>
  <c r="D7" i="97"/>
  <c r="D8" i="97"/>
  <c r="D9" i="97"/>
  <c r="D10" i="97"/>
  <c r="D11" i="97"/>
  <c r="D12" i="97"/>
  <c r="D13" i="97"/>
  <c r="D14" i="97"/>
  <c r="D15" i="97"/>
  <c r="D6" i="97"/>
  <c r="C6" i="97"/>
  <c r="C7" i="97"/>
  <c r="C8" i="97"/>
  <c r="C9" i="97"/>
  <c r="C10" i="97"/>
  <c r="C11" i="97"/>
  <c r="C12" i="97"/>
  <c r="C13" i="97"/>
  <c r="C14" i="97"/>
  <c r="C15" i="97"/>
  <c r="E5" i="30"/>
  <c r="C16" i="65" l="1"/>
  <c r="D158" i="65"/>
  <c r="C158" i="65"/>
  <c r="D130" i="65"/>
  <c r="C130" i="65"/>
  <c r="D103" i="65"/>
  <c r="C103" i="65"/>
  <c r="D76" i="65"/>
  <c r="C76" i="65"/>
  <c r="Q48" i="65"/>
  <c r="P48" i="65"/>
  <c r="O48" i="65"/>
  <c r="M48" i="65"/>
  <c r="L48" i="65"/>
  <c r="C23" i="62"/>
  <c r="C22" i="62"/>
  <c r="C17" i="62"/>
  <c r="C16" i="62"/>
  <c r="C11" i="62"/>
  <c r="C10" i="62"/>
  <c r="F55" i="46"/>
  <c r="F65" i="34"/>
  <c r="F59" i="28"/>
  <c r="F59" i="41"/>
  <c r="F55" i="39"/>
  <c r="L5" i="97"/>
  <c r="L6" i="97" s="1"/>
  <c r="L8" i="97" s="1"/>
  <c r="L9" i="97" s="1"/>
  <c r="E6" i="88" s="1"/>
  <c r="C14" i="62"/>
  <c r="G30" i="62"/>
  <c r="C33" i="62" s="1"/>
  <c r="M13" i="96"/>
  <c r="S45" i="65"/>
  <c r="R45" i="65"/>
  <c r="Q45" i="65"/>
  <c r="P45" i="65"/>
  <c r="O45" i="65"/>
  <c r="N45" i="65"/>
  <c r="M45" i="65"/>
  <c r="L45" i="65"/>
  <c r="M44" i="65"/>
  <c r="K45" i="65"/>
  <c r="J45" i="65"/>
  <c r="D45" i="65"/>
  <c r="C45" i="65"/>
  <c r="D55" i="39"/>
  <c r="D55" i="46"/>
  <c r="D65" i="34"/>
  <c r="C15" i="65"/>
  <c r="M13" i="50"/>
  <c r="M13" i="46"/>
  <c r="M13" i="53"/>
  <c r="M13" i="57"/>
  <c r="M13" i="66"/>
  <c r="M13" i="63"/>
  <c r="M13" i="64"/>
  <c r="M13" i="36"/>
  <c r="M13" i="35"/>
  <c r="M13" i="34"/>
  <c r="M13" i="27"/>
  <c r="M13" i="28"/>
  <c r="M13" i="41"/>
  <c r="M13" i="21"/>
  <c r="M13" i="30"/>
  <c r="L119" i="97"/>
  <c r="L117" i="97"/>
  <c r="L118" i="97" s="1"/>
  <c r="L120" i="97" s="1"/>
  <c r="L121" i="97" s="1"/>
  <c r="E14" i="88" s="1"/>
  <c r="L105" i="97"/>
  <c r="L91" i="97"/>
  <c r="L77" i="97"/>
  <c r="L63" i="97"/>
  <c r="L49" i="97"/>
  <c r="L35" i="97"/>
  <c r="L21" i="97"/>
  <c r="L7" i="97"/>
  <c r="M13" i="39"/>
  <c r="C65" i="96"/>
  <c r="C64" i="96"/>
  <c r="H59" i="96"/>
  <c r="J59" i="96" s="1"/>
  <c r="G59" i="96"/>
  <c r="F59" i="96"/>
  <c r="E59" i="96"/>
  <c r="D59" i="96"/>
  <c r="C59" i="96"/>
  <c r="H49" i="96"/>
  <c r="D53" i="96" s="1"/>
  <c r="G49" i="96"/>
  <c r="F49" i="96"/>
  <c r="E49" i="96"/>
  <c r="D49" i="96"/>
  <c r="C49" i="96"/>
  <c r="C53" i="96" s="1"/>
  <c r="C35" i="96"/>
  <c r="C34" i="96"/>
  <c r="D55" i="96"/>
  <c r="C31" i="96"/>
  <c r="C30" i="96"/>
  <c r="C28" i="96"/>
  <c r="I21" i="96"/>
  <c r="I13" i="96"/>
  <c r="I5" i="96"/>
  <c r="S44" i="65"/>
  <c r="Q44" i="65"/>
  <c r="O44" i="65"/>
  <c r="Q43" i="65"/>
  <c r="R44" i="65"/>
  <c r="P44" i="65"/>
  <c r="N44" i="65"/>
  <c r="L44" i="65"/>
  <c r="K44" i="65"/>
  <c r="J44" i="65"/>
  <c r="E23" i="66"/>
  <c r="E22" i="66"/>
  <c r="E21" i="66"/>
  <c r="E24" i="66" s="1"/>
  <c r="E17" i="66"/>
  <c r="E16" i="66"/>
  <c r="E15" i="66"/>
  <c r="E18" i="66" s="1"/>
  <c r="E11" i="66"/>
  <c r="E10" i="66"/>
  <c r="E9" i="66"/>
  <c r="E7" i="66"/>
  <c r="E6" i="66"/>
  <c r="E5" i="66"/>
  <c r="I21" i="66"/>
  <c r="I13" i="66"/>
  <c r="I5" i="66"/>
  <c r="C65" i="66"/>
  <c r="C64" i="66"/>
  <c r="C35" i="66"/>
  <c r="C34" i="66"/>
  <c r="N10" i="81"/>
  <c r="S10" i="81" s="1"/>
  <c r="N76" i="81"/>
  <c r="R76" i="81" s="1"/>
  <c r="N74" i="81"/>
  <c r="O74" i="81" s="1"/>
  <c r="N69" i="81"/>
  <c r="S69" i="81" s="1"/>
  <c r="N71" i="81"/>
  <c r="S71" i="81" s="1"/>
  <c r="N75" i="81"/>
  <c r="Q75" i="81" s="1"/>
  <c r="T75" i="81" s="1"/>
  <c r="N70" i="81"/>
  <c r="S70" i="81" s="1"/>
  <c r="N68" i="81"/>
  <c r="Q68" i="81" s="1"/>
  <c r="T68" i="81" s="1"/>
  <c r="N65" i="81"/>
  <c r="S65" i="81" s="1"/>
  <c r="N73" i="81"/>
  <c r="R73" i="81" s="1"/>
  <c r="N62" i="81"/>
  <c r="O62" i="81" s="1"/>
  <c r="N61" i="81"/>
  <c r="O61" i="81" s="1"/>
  <c r="N58" i="81"/>
  <c r="S58" i="81" s="1"/>
  <c r="N54" i="81"/>
  <c r="Q54" i="81" s="1"/>
  <c r="T54" i="81" s="1"/>
  <c r="N66" i="81"/>
  <c r="S66" i="81" s="1"/>
  <c r="N56" i="81"/>
  <c r="S56" i="81" s="1"/>
  <c r="N67" i="81"/>
  <c r="S67" i="81" s="1"/>
  <c r="N63" i="81"/>
  <c r="R63" i="81" s="1"/>
  <c r="N42" i="81"/>
  <c r="O42" i="81" s="1"/>
  <c r="N72" i="81"/>
  <c r="Q72" i="81" s="1"/>
  <c r="T72" i="81" s="1"/>
  <c r="N64" i="81"/>
  <c r="S64" i="81" s="1"/>
  <c r="N24" i="81"/>
  <c r="Q24" i="81" s="1"/>
  <c r="T24" i="81" s="1"/>
  <c r="N52" i="81"/>
  <c r="S52" i="81" s="1"/>
  <c r="N44" i="81"/>
  <c r="Q44" i="81" s="1"/>
  <c r="T44" i="81" s="1"/>
  <c r="N59" i="81"/>
  <c r="S59" i="81" s="1"/>
  <c r="N46" i="81"/>
  <c r="R46" i="81" s="1"/>
  <c r="N48" i="81"/>
  <c r="O48" i="81" s="1"/>
  <c r="N60" i="81"/>
  <c r="S60" i="81" s="1"/>
  <c r="N43" i="81"/>
  <c r="S43" i="81" s="1"/>
  <c r="S50" i="81"/>
  <c r="R50" i="81"/>
  <c r="N50" i="81"/>
  <c r="Q50" i="81" s="1"/>
  <c r="T50" i="81" s="1"/>
  <c r="N29" i="81"/>
  <c r="S29" i="81" s="1"/>
  <c r="N57" i="81"/>
  <c r="S57" i="81" s="1"/>
  <c r="N55" i="81"/>
  <c r="S55" i="81" s="1"/>
  <c r="N45" i="81"/>
  <c r="R45" i="81" s="1"/>
  <c r="N53" i="81"/>
  <c r="O53" i="81" s="1"/>
  <c r="N40" i="81"/>
  <c r="P40" i="81" s="1"/>
  <c r="N38" i="81"/>
  <c r="S38" i="81" s="1"/>
  <c r="N36" i="81"/>
  <c r="Q36" i="81" s="1"/>
  <c r="T36" i="81" s="1"/>
  <c r="N47" i="81"/>
  <c r="S47" i="81" s="1"/>
  <c r="N34" i="81"/>
  <c r="S34" i="81" s="1"/>
  <c r="N37" i="81"/>
  <c r="S37" i="81" s="1"/>
  <c r="N35" i="81"/>
  <c r="R35" i="81" s="1"/>
  <c r="Q41" i="81"/>
  <c r="T41" i="81" s="1"/>
  <c r="N41" i="81"/>
  <c r="O41" i="81" s="1"/>
  <c r="N49" i="81"/>
  <c r="S49" i="81" s="1"/>
  <c r="N22" i="81"/>
  <c r="S22" i="81" s="1"/>
  <c r="N11" i="81"/>
  <c r="Q11" i="81" s="1"/>
  <c r="T11" i="81" s="1"/>
  <c r="N13" i="81"/>
  <c r="S13" i="81" s="1"/>
  <c r="N19" i="81"/>
  <c r="S19" i="81" s="1"/>
  <c r="N28" i="81"/>
  <c r="S28" i="81" s="1"/>
  <c r="N32" i="81"/>
  <c r="R32" i="81" s="1"/>
  <c r="N39" i="81"/>
  <c r="O39" i="81" s="1"/>
  <c r="N27" i="81"/>
  <c r="R27" i="81" s="1"/>
  <c r="N51" i="81"/>
  <c r="S51" i="81" s="1"/>
  <c r="N9" i="81"/>
  <c r="Q9" i="81" s="1"/>
  <c r="T9" i="81" s="1"/>
  <c r="N17" i="81"/>
  <c r="P17" i="81" s="1"/>
  <c r="N33" i="81"/>
  <c r="Q33" i="81" s="1"/>
  <c r="T33" i="81" s="1"/>
  <c r="N23" i="81"/>
  <c r="S23" i="81" s="1"/>
  <c r="N30" i="81"/>
  <c r="R30" i="81" s="1"/>
  <c r="N21" i="81"/>
  <c r="O21" i="81" s="1"/>
  <c r="N25" i="81"/>
  <c r="S25" i="81" s="1"/>
  <c r="N8" i="81"/>
  <c r="S8" i="81" s="1"/>
  <c r="N18" i="81"/>
  <c r="Q18" i="81" s="1"/>
  <c r="T18" i="81" s="1"/>
  <c r="N31" i="81"/>
  <c r="P31" i="81" s="1"/>
  <c r="N16" i="81"/>
  <c r="O16" i="81" s="1"/>
  <c r="N6" i="81"/>
  <c r="S6" i="81" s="1"/>
  <c r="N12" i="81"/>
  <c r="R12" i="81" s="1"/>
  <c r="N5" i="81"/>
  <c r="O5" i="81" s="1"/>
  <c r="N26" i="81"/>
  <c r="P26" i="81" s="1"/>
  <c r="N2" i="81"/>
  <c r="S2" i="81" s="1"/>
  <c r="N15" i="81"/>
  <c r="Q15" i="81" s="1"/>
  <c r="T15" i="81" s="1"/>
  <c r="N20" i="81"/>
  <c r="P20" i="81" s="1"/>
  <c r="N3" i="81"/>
  <c r="Q3" i="81" s="1"/>
  <c r="T3" i="81" s="1"/>
  <c r="N4" i="81"/>
  <c r="S4" i="81" s="1"/>
  <c r="N14" i="81"/>
  <c r="R14" i="81" s="1"/>
  <c r="N7" i="81"/>
  <c r="O7" i="81" s="1"/>
  <c r="N27" i="83"/>
  <c r="S27" i="83" s="1"/>
  <c r="N29" i="83"/>
  <c r="Q29" i="83" s="1"/>
  <c r="T29" i="83" s="1"/>
  <c r="N25" i="83"/>
  <c r="O25" i="83" s="1"/>
  <c r="N28" i="83"/>
  <c r="S28" i="83" s="1"/>
  <c r="N33" i="83"/>
  <c r="S33" i="83" s="1"/>
  <c r="N24" i="83"/>
  <c r="Q24" i="83" s="1"/>
  <c r="T24" i="83" s="1"/>
  <c r="N26" i="83"/>
  <c r="O26" i="83" s="1"/>
  <c r="N23" i="83"/>
  <c r="S23" i="83" s="1"/>
  <c r="N40" i="83"/>
  <c r="S40" i="83" s="1"/>
  <c r="N37" i="83"/>
  <c r="Q37" i="83" s="1"/>
  <c r="T37" i="83" s="1"/>
  <c r="N41" i="83"/>
  <c r="O41" i="83" s="1"/>
  <c r="N34" i="83"/>
  <c r="Q34" i="83" s="1"/>
  <c r="T34" i="83" s="1"/>
  <c r="N30" i="83"/>
  <c r="S30" i="83" s="1"/>
  <c r="N47" i="83"/>
  <c r="Q47" i="83" s="1"/>
  <c r="T47" i="83" s="1"/>
  <c r="N38" i="83"/>
  <c r="O38" i="83" s="1"/>
  <c r="N31" i="83"/>
  <c r="S31" i="83" s="1"/>
  <c r="N14" i="83"/>
  <c r="S14" i="83" s="1"/>
  <c r="N36" i="83"/>
  <c r="Q36" i="83" s="1"/>
  <c r="T36" i="83" s="1"/>
  <c r="N45" i="83"/>
  <c r="O45" i="83" s="1"/>
  <c r="N10" i="83"/>
  <c r="S10" i="83" s="1"/>
  <c r="I112" i="97" s="1"/>
  <c r="N74" i="83"/>
  <c r="S74" i="83" s="1"/>
  <c r="N43" i="83"/>
  <c r="Q43" i="83" s="1"/>
  <c r="T43" i="83" s="1"/>
  <c r="N42" i="83"/>
  <c r="O42" i="83" s="1"/>
  <c r="N21" i="83"/>
  <c r="S21" i="83" s="1"/>
  <c r="N13" i="83"/>
  <c r="S13" i="83" s="1"/>
  <c r="N50" i="83"/>
  <c r="Q50" i="83" s="1"/>
  <c r="T50" i="83" s="1"/>
  <c r="R35" i="83"/>
  <c r="N35" i="83"/>
  <c r="O35" i="83" s="1"/>
  <c r="N52" i="83"/>
  <c r="Q52" i="83" s="1"/>
  <c r="T52" i="83" s="1"/>
  <c r="N22" i="83"/>
  <c r="S22" i="83" s="1"/>
  <c r="N44" i="83"/>
  <c r="Q44" i="83" s="1"/>
  <c r="T44" i="83" s="1"/>
  <c r="N9" i="83"/>
  <c r="O9" i="83" s="1"/>
  <c r="E111" i="97" s="1"/>
  <c r="N12" i="83"/>
  <c r="S12" i="83" s="1"/>
  <c r="N56" i="83"/>
  <c r="S56" i="83" s="1"/>
  <c r="N48" i="83"/>
  <c r="Q48" i="83" s="1"/>
  <c r="T48" i="83" s="1"/>
  <c r="N7" i="83"/>
  <c r="O7" i="83" s="1"/>
  <c r="E109" i="97" s="1"/>
  <c r="N17" i="83"/>
  <c r="S17" i="83" s="1"/>
  <c r="N15" i="83"/>
  <c r="S15" i="83" s="1"/>
  <c r="N8" i="83"/>
  <c r="Q8" i="83" s="1"/>
  <c r="S62" i="83"/>
  <c r="N62" i="83"/>
  <c r="O62" i="83" s="1"/>
  <c r="N18" i="83"/>
  <c r="S18" i="83" s="1"/>
  <c r="N2" i="83"/>
  <c r="S2" i="83" s="1"/>
  <c r="I104" i="97" s="1"/>
  <c r="N55" i="83"/>
  <c r="Q55" i="83" s="1"/>
  <c r="T55" i="83" s="1"/>
  <c r="N58" i="83"/>
  <c r="O58" i="83" s="1"/>
  <c r="N46" i="83"/>
  <c r="P46" i="83" s="1"/>
  <c r="N59" i="83"/>
  <c r="S59" i="83" s="1"/>
  <c r="N32" i="83"/>
  <c r="Q32" i="83" s="1"/>
  <c r="T32" i="83" s="1"/>
  <c r="N4" i="83"/>
  <c r="O4" i="83" s="1"/>
  <c r="E106" i="97" s="1"/>
  <c r="N53" i="83"/>
  <c r="S53" i="83" s="1"/>
  <c r="N64" i="83"/>
  <c r="S64" i="83" s="1"/>
  <c r="N49" i="83"/>
  <c r="Q49" i="83" s="1"/>
  <c r="T49" i="83" s="1"/>
  <c r="R71" i="83"/>
  <c r="N71" i="83"/>
  <c r="O71" i="83" s="1"/>
  <c r="N5" i="83"/>
  <c r="S5" i="83" s="1"/>
  <c r="I107" i="97" s="1"/>
  <c r="N20" i="83"/>
  <c r="S20" i="83" s="1"/>
  <c r="N66" i="83"/>
  <c r="Q66" i="83" s="1"/>
  <c r="T66" i="83" s="1"/>
  <c r="N51" i="83"/>
  <c r="O51" i="83" s="1"/>
  <c r="N69" i="83"/>
  <c r="S69" i="83" s="1"/>
  <c r="N6" i="83"/>
  <c r="S6" i="83" s="1"/>
  <c r="I108" i="97" s="1"/>
  <c r="N70" i="83"/>
  <c r="Q70" i="83" s="1"/>
  <c r="T70" i="83" s="1"/>
  <c r="N19" i="83"/>
  <c r="O19" i="83" s="1"/>
  <c r="N67" i="83"/>
  <c r="Q67" i="83" s="1"/>
  <c r="T67" i="83" s="1"/>
  <c r="N57" i="83"/>
  <c r="S57" i="83" s="1"/>
  <c r="N63" i="83"/>
  <c r="Q63" i="83" s="1"/>
  <c r="T63" i="83" s="1"/>
  <c r="N73" i="83"/>
  <c r="O73" i="83" s="1"/>
  <c r="N16" i="83"/>
  <c r="S16" i="83" s="1"/>
  <c r="N75" i="83"/>
  <c r="S75" i="83" s="1"/>
  <c r="N11" i="83"/>
  <c r="Q11" i="83" s="1"/>
  <c r="N76" i="83"/>
  <c r="O76" i="83" s="1"/>
  <c r="N65" i="83"/>
  <c r="P65" i="83" s="1"/>
  <c r="N61" i="83"/>
  <c r="S61" i="83" s="1"/>
  <c r="N3" i="83"/>
  <c r="Q3" i="83" s="1"/>
  <c r="N39" i="83"/>
  <c r="O39" i="83" s="1"/>
  <c r="N72" i="83"/>
  <c r="S72" i="83" s="1"/>
  <c r="N54" i="83"/>
  <c r="S54" i="83" s="1"/>
  <c r="N68" i="83"/>
  <c r="Q68" i="83" s="1"/>
  <c r="T68" i="83" s="1"/>
  <c r="N60" i="83"/>
  <c r="O60" i="83" s="1"/>
  <c r="N11" i="79"/>
  <c r="P11" i="79" s="1"/>
  <c r="N48" i="79"/>
  <c r="R48" i="79" s="1"/>
  <c r="N49" i="79"/>
  <c r="O49" i="79" s="1"/>
  <c r="N45" i="79"/>
  <c r="R45" i="79" s="1"/>
  <c r="N42" i="79"/>
  <c r="S42" i="79" s="1"/>
  <c r="N44" i="79"/>
  <c r="S44" i="79" s="1"/>
  <c r="N35" i="79"/>
  <c r="O35" i="79" s="1"/>
  <c r="N57" i="79"/>
  <c r="Q57" i="79" s="1"/>
  <c r="T57" i="79" s="1"/>
  <c r="R58" i="79"/>
  <c r="Q58" i="79"/>
  <c r="T58" i="79" s="1"/>
  <c r="P58" i="79"/>
  <c r="O58" i="79"/>
  <c r="N58" i="79"/>
  <c r="S58" i="79" s="1"/>
  <c r="N38" i="79"/>
  <c r="Q38" i="79" s="1"/>
  <c r="T38" i="79" s="1"/>
  <c r="N62" i="79"/>
  <c r="O62" i="79" s="1"/>
  <c r="N53" i="79"/>
  <c r="P53" i="79" s="1"/>
  <c r="N51" i="79"/>
  <c r="S51" i="79" s="1"/>
  <c r="N70" i="79"/>
  <c r="S70" i="79" s="1"/>
  <c r="N46" i="79"/>
  <c r="O46" i="79" s="1"/>
  <c r="N65" i="79"/>
  <c r="Q65" i="79" s="1"/>
  <c r="T65" i="79" s="1"/>
  <c r="N63" i="79"/>
  <c r="O63" i="79" s="1"/>
  <c r="N39" i="79"/>
  <c r="Q39" i="79" s="1"/>
  <c r="T39" i="79" s="1"/>
  <c r="N22" i="79"/>
  <c r="O22" i="79" s="1"/>
  <c r="O67" i="79"/>
  <c r="N67" i="79"/>
  <c r="S67" i="79" s="1"/>
  <c r="N40" i="79"/>
  <c r="S40" i="79" s="1"/>
  <c r="N47" i="79"/>
  <c r="S47" i="79" s="1"/>
  <c r="N52" i="79"/>
  <c r="O52" i="79" s="1"/>
  <c r="N54" i="79"/>
  <c r="S54" i="79" s="1"/>
  <c r="N50" i="79"/>
  <c r="P50" i="79" s="1"/>
  <c r="N14" i="79"/>
  <c r="Q14" i="79" s="1"/>
  <c r="T14" i="79" s="1"/>
  <c r="N64" i="79"/>
  <c r="O64" i="79" s="1"/>
  <c r="N31" i="79"/>
  <c r="S31" i="79" s="1"/>
  <c r="N10" i="79"/>
  <c r="S10" i="79" s="1"/>
  <c r="N41" i="79"/>
  <c r="S41" i="79" s="1"/>
  <c r="N37" i="79"/>
  <c r="O37" i="79" s="1"/>
  <c r="N43" i="79"/>
  <c r="S43" i="79" s="1"/>
  <c r="N69" i="79"/>
  <c r="R69" i="79" s="1"/>
  <c r="N61" i="79"/>
  <c r="Q61" i="79" s="1"/>
  <c r="T61" i="79" s="1"/>
  <c r="N66" i="79"/>
  <c r="O66" i="79" s="1"/>
  <c r="N21" i="79"/>
  <c r="S21" i="79" s="1"/>
  <c r="N34" i="79"/>
  <c r="S34" i="79" s="1"/>
  <c r="N30" i="79"/>
  <c r="S30" i="79" s="1"/>
  <c r="N73" i="79"/>
  <c r="O73" i="79" s="1"/>
  <c r="N7" i="79"/>
  <c r="Q7" i="79" s="1"/>
  <c r="N55" i="79"/>
  <c r="R55" i="79" s="1"/>
  <c r="N36" i="79"/>
  <c r="Q36" i="79" s="1"/>
  <c r="T36" i="79" s="1"/>
  <c r="N74" i="79"/>
  <c r="O74" i="79" s="1"/>
  <c r="N76" i="79"/>
  <c r="Q76" i="79" s="1"/>
  <c r="T76" i="79" s="1"/>
  <c r="N9" i="79"/>
  <c r="S9" i="79" s="1"/>
  <c r="Q16" i="79"/>
  <c r="T16" i="79" s="1"/>
  <c r="N16" i="79"/>
  <c r="S16" i="79" s="1"/>
  <c r="N25" i="79"/>
  <c r="O25" i="79" s="1"/>
  <c r="N75" i="79"/>
  <c r="S75" i="79" s="1"/>
  <c r="N23" i="79"/>
  <c r="S23" i="79" s="1"/>
  <c r="N19" i="79"/>
  <c r="Q19" i="79" s="1"/>
  <c r="T19" i="79" s="1"/>
  <c r="N24" i="79"/>
  <c r="O24" i="79" s="1"/>
  <c r="S60" i="79"/>
  <c r="R60" i="79"/>
  <c r="N60" i="79"/>
  <c r="Q60" i="79" s="1"/>
  <c r="T60" i="79" s="1"/>
  <c r="N26" i="79"/>
  <c r="S26" i="79" s="1"/>
  <c r="P28" i="79"/>
  <c r="O28" i="79"/>
  <c r="N28" i="79"/>
  <c r="S28" i="79" s="1"/>
  <c r="N29" i="79"/>
  <c r="O29" i="79" s="1"/>
  <c r="N33" i="79"/>
  <c r="Q33" i="79" s="1"/>
  <c r="T33" i="79" s="1"/>
  <c r="N20" i="79"/>
  <c r="R20" i="79" s="1"/>
  <c r="N15" i="79"/>
  <c r="Q15" i="79" s="1"/>
  <c r="T15" i="79" s="1"/>
  <c r="N6" i="79"/>
  <c r="O6" i="79" s="1"/>
  <c r="N72" i="79"/>
  <c r="O72" i="79" s="1"/>
  <c r="O71" i="79"/>
  <c r="N71" i="79"/>
  <c r="S71" i="79" s="1"/>
  <c r="N56" i="79"/>
  <c r="S56" i="79" s="1"/>
  <c r="N18" i="79"/>
  <c r="O18" i="79" s="1"/>
  <c r="N32" i="79"/>
  <c r="S32" i="79" s="1"/>
  <c r="S5" i="79"/>
  <c r="P5" i="79"/>
  <c r="N5" i="79"/>
  <c r="O5" i="79" s="1"/>
  <c r="N17" i="79"/>
  <c r="Q17" i="79" s="1"/>
  <c r="T17" i="79" s="1"/>
  <c r="N4" i="79"/>
  <c r="O4" i="79" s="1"/>
  <c r="N12" i="79"/>
  <c r="O12" i="79" s="1"/>
  <c r="N27" i="79"/>
  <c r="S27" i="79" s="1"/>
  <c r="N13" i="79"/>
  <c r="S13" i="79" s="1"/>
  <c r="N3" i="79"/>
  <c r="O3" i="79" s="1"/>
  <c r="N68" i="79"/>
  <c r="S68" i="79" s="1"/>
  <c r="N2" i="79"/>
  <c r="Q2" i="79" s="1"/>
  <c r="N8" i="79"/>
  <c r="Q8" i="79" s="1"/>
  <c r="N59" i="79"/>
  <c r="O59" i="79" s="1"/>
  <c r="N11" i="84"/>
  <c r="S11" i="84" s="1"/>
  <c r="N2" i="84"/>
  <c r="P2" i="84" s="1"/>
  <c r="F76" i="97" s="1"/>
  <c r="N68" i="84"/>
  <c r="O68" i="84" s="1"/>
  <c r="N15" i="84"/>
  <c r="S15" i="84" s="1"/>
  <c r="N43" i="84"/>
  <c r="R43" i="84" s="1"/>
  <c r="N12" i="84"/>
  <c r="Q12" i="84" s="1"/>
  <c r="N40" i="84"/>
  <c r="S40" i="84" s="1"/>
  <c r="N35" i="84"/>
  <c r="S35" i="84" s="1"/>
  <c r="N33" i="84"/>
  <c r="S33" i="84" s="1"/>
  <c r="N38" i="84"/>
  <c r="P38" i="84" s="1"/>
  <c r="N37" i="84"/>
  <c r="O37" i="84" s="1"/>
  <c r="N44" i="84"/>
  <c r="S44" i="84" s="1"/>
  <c r="N19" i="84"/>
  <c r="R19" i="84" s="1"/>
  <c r="N49" i="84"/>
  <c r="Q49" i="84" s="1"/>
  <c r="T49" i="84" s="1"/>
  <c r="N30" i="84"/>
  <c r="S30" i="84" s="1"/>
  <c r="N42" i="84"/>
  <c r="S42" i="84" s="1"/>
  <c r="N39" i="84"/>
  <c r="S39" i="84" s="1"/>
  <c r="N67" i="84"/>
  <c r="P67" i="84" s="1"/>
  <c r="N58" i="84"/>
  <c r="O58" i="84" s="1"/>
  <c r="N31" i="84"/>
  <c r="S31" i="84" s="1"/>
  <c r="N74" i="84"/>
  <c r="R74" i="84" s="1"/>
  <c r="N50" i="84"/>
  <c r="Q50" i="84" s="1"/>
  <c r="T50" i="84" s="1"/>
  <c r="N41" i="84"/>
  <c r="Q41" i="84" s="1"/>
  <c r="T41" i="84" s="1"/>
  <c r="N34" i="84"/>
  <c r="S34" i="84" s="1"/>
  <c r="N76" i="84"/>
  <c r="S76" i="84" s="1"/>
  <c r="N54" i="84"/>
  <c r="P54" i="84" s="1"/>
  <c r="N25" i="84"/>
  <c r="O25" i="84" s="1"/>
  <c r="N4" i="84"/>
  <c r="R4" i="84" s="1"/>
  <c r="H78" i="97" s="1"/>
  <c r="N14" i="84"/>
  <c r="R14" i="84" s="1"/>
  <c r="N73" i="84"/>
  <c r="Q73" i="84" s="1"/>
  <c r="T73" i="84" s="1"/>
  <c r="N23" i="84"/>
  <c r="S23" i="84" s="1"/>
  <c r="N21" i="84"/>
  <c r="R21" i="84" s="1"/>
  <c r="O61" i="84"/>
  <c r="N61" i="84"/>
  <c r="S61" i="84" s="1"/>
  <c r="N48" i="84"/>
  <c r="P48" i="84" s="1"/>
  <c r="N55" i="84"/>
  <c r="O55" i="84" s="1"/>
  <c r="N26" i="84"/>
  <c r="S26" i="84" s="1"/>
  <c r="N20" i="84"/>
  <c r="R20" i="84" s="1"/>
  <c r="N32" i="84"/>
  <c r="Q32" i="84" s="1"/>
  <c r="T32" i="84" s="1"/>
  <c r="N47" i="84"/>
  <c r="O47" i="84" s="1"/>
  <c r="N46" i="84"/>
  <c r="S46" i="84" s="1"/>
  <c r="N57" i="84"/>
  <c r="S57" i="84" s="1"/>
  <c r="N28" i="84"/>
  <c r="P28" i="84" s="1"/>
  <c r="N64" i="84"/>
  <c r="O64" i="84" s="1"/>
  <c r="N8" i="84"/>
  <c r="R8" i="84" s="1"/>
  <c r="H82" i="97" s="1"/>
  <c r="N3" i="84"/>
  <c r="R3" i="84" s="1"/>
  <c r="H77" i="97" s="1"/>
  <c r="N24" i="84"/>
  <c r="Q24" i="84" s="1"/>
  <c r="T24" i="84" s="1"/>
  <c r="N9" i="84"/>
  <c r="R9" i="84" s="1"/>
  <c r="H83" i="97" s="1"/>
  <c r="N70" i="84"/>
  <c r="S70" i="84" s="1"/>
  <c r="N60" i="84"/>
  <c r="S60" i="84" s="1"/>
  <c r="N75" i="84"/>
  <c r="P75" i="84" s="1"/>
  <c r="N45" i="84"/>
  <c r="O45" i="84" s="1"/>
  <c r="N66" i="84"/>
  <c r="S66" i="84" s="1"/>
  <c r="N22" i="84"/>
  <c r="R22" i="84" s="1"/>
  <c r="N10" i="84"/>
  <c r="Q10" i="84" s="1"/>
  <c r="N63" i="84"/>
  <c r="Q63" i="84" s="1"/>
  <c r="T63" i="84" s="1"/>
  <c r="N56" i="84"/>
  <c r="R56" i="84" s="1"/>
  <c r="N29" i="84"/>
  <c r="S29" i="84" s="1"/>
  <c r="N36" i="84"/>
  <c r="P36" i="84" s="1"/>
  <c r="N18" i="84"/>
  <c r="O18" i="84" s="1"/>
  <c r="N59" i="84"/>
  <c r="Q59" i="84" s="1"/>
  <c r="T59" i="84" s="1"/>
  <c r="N65" i="84"/>
  <c r="R65" i="84" s="1"/>
  <c r="N5" i="84"/>
  <c r="Q5" i="84" s="1"/>
  <c r="N6" i="84"/>
  <c r="O6" i="84" s="1"/>
  <c r="E80" i="97" s="1"/>
  <c r="N13" i="84"/>
  <c r="R13" i="84" s="1"/>
  <c r="N71" i="84"/>
  <c r="S71" i="84" s="1"/>
  <c r="N53" i="84"/>
  <c r="P53" i="84" s="1"/>
  <c r="N69" i="84"/>
  <c r="O69" i="84" s="1"/>
  <c r="N16" i="84"/>
  <c r="R16" i="84" s="1"/>
  <c r="N51" i="84"/>
  <c r="R51" i="84" s="1"/>
  <c r="N7" i="84"/>
  <c r="Q7" i="84" s="1"/>
  <c r="N27" i="84"/>
  <c r="S27" i="84" s="1"/>
  <c r="N17" i="84"/>
  <c r="Q17" i="84" s="1"/>
  <c r="T17" i="84" s="1"/>
  <c r="N52" i="84"/>
  <c r="S52" i="84" s="1"/>
  <c r="N72" i="84"/>
  <c r="P72" i="84" s="1"/>
  <c r="N62" i="84"/>
  <c r="O62" i="84" s="1"/>
  <c r="N11" i="86"/>
  <c r="S11" i="86" s="1"/>
  <c r="N75" i="86"/>
  <c r="O75" i="86" s="1"/>
  <c r="N76" i="86"/>
  <c r="P76" i="86" s="1"/>
  <c r="N72" i="86"/>
  <c r="S72" i="86" s="1"/>
  <c r="N69" i="86"/>
  <c r="R69" i="86" s="1"/>
  <c r="N70" i="86"/>
  <c r="P70" i="86" s="1"/>
  <c r="N68" i="86"/>
  <c r="S68" i="86" s="1"/>
  <c r="N67" i="86"/>
  <c r="S67" i="86" s="1"/>
  <c r="N71" i="86"/>
  <c r="S71" i="86" s="1"/>
  <c r="N65" i="86"/>
  <c r="O65" i="86" s="1"/>
  <c r="N73" i="86"/>
  <c r="S73" i="86" s="1"/>
  <c r="N74" i="86"/>
  <c r="S74" i="86" s="1"/>
  <c r="N63" i="86"/>
  <c r="R63" i="86" s="1"/>
  <c r="N59" i="86"/>
  <c r="P59" i="86" s="1"/>
  <c r="N61" i="86"/>
  <c r="S61" i="86" s="1"/>
  <c r="N55" i="86"/>
  <c r="S55" i="86" s="1"/>
  <c r="N66" i="86"/>
  <c r="R66" i="86" s="1"/>
  <c r="N41" i="86"/>
  <c r="O41" i="86" s="1"/>
  <c r="N62" i="86"/>
  <c r="S62" i="86" s="1"/>
  <c r="N58" i="86"/>
  <c r="S58" i="86" s="1"/>
  <c r="N43" i="86"/>
  <c r="R43" i="86" s="1"/>
  <c r="N64" i="86"/>
  <c r="P64" i="86" s="1"/>
  <c r="N60" i="86"/>
  <c r="S60" i="86" s="1"/>
  <c r="N53" i="86"/>
  <c r="S53" i="86" s="1"/>
  <c r="N57" i="86"/>
  <c r="R57" i="86" s="1"/>
  <c r="N33" i="86"/>
  <c r="O33" i="86" s="1"/>
  <c r="N14" i="86"/>
  <c r="S14" i="86" s="1"/>
  <c r="N54" i="86"/>
  <c r="S54" i="86" s="1"/>
  <c r="N50" i="86"/>
  <c r="R50" i="86" s="1"/>
  <c r="Q36" i="86"/>
  <c r="N36" i="86"/>
  <c r="P36" i="86" s="1"/>
  <c r="F70" i="97" s="1"/>
  <c r="Q52" i="86"/>
  <c r="T52" i="86" s="1"/>
  <c r="N52" i="86"/>
  <c r="S52" i="86" s="1"/>
  <c r="N44" i="86"/>
  <c r="S44" i="86" s="1"/>
  <c r="N18" i="86"/>
  <c r="R18" i="86" s="1"/>
  <c r="R42" i="86"/>
  <c r="Q42" i="86"/>
  <c r="T42" i="86" s="1"/>
  <c r="N42" i="86"/>
  <c r="O42" i="86" s="1"/>
  <c r="N37" i="86"/>
  <c r="S37" i="86" s="1"/>
  <c r="N56" i="86"/>
  <c r="S56" i="86" s="1"/>
  <c r="N49" i="86"/>
  <c r="R49" i="86" s="1"/>
  <c r="H71" i="97" s="1"/>
  <c r="N30" i="86"/>
  <c r="P30" i="86" s="1"/>
  <c r="N48" i="86"/>
  <c r="S48" i="86" s="1"/>
  <c r="N45" i="86"/>
  <c r="S45" i="86" s="1"/>
  <c r="N28" i="86"/>
  <c r="R28" i="86" s="1"/>
  <c r="N39" i="86"/>
  <c r="O39" i="86" s="1"/>
  <c r="N35" i="86"/>
  <c r="S35" i="86" s="1"/>
  <c r="N32" i="86"/>
  <c r="S32" i="86" s="1"/>
  <c r="N22" i="86"/>
  <c r="R22" i="86" s="1"/>
  <c r="H64" i="97" s="1"/>
  <c r="N31" i="86"/>
  <c r="P31" i="86" s="1"/>
  <c r="N19" i="86"/>
  <c r="R19" i="86" s="1"/>
  <c r="N51" i="86"/>
  <c r="S51" i="86" s="1"/>
  <c r="N46" i="86"/>
  <c r="R46" i="86" s="1"/>
  <c r="N20" i="86"/>
  <c r="O20" i="86" s="1"/>
  <c r="N25" i="86"/>
  <c r="R25" i="86" s="1"/>
  <c r="N23" i="86"/>
  <c r="S23" i="86" s="1"/>
  <c r="N7" i="86"/>
  <c r="Q7" i="86" s="1"/>
  <c r="N8" i="86"/>
  <c r="P8" i="86" s="1"/>
  <c r="F69" i="97" s="1"/>
  <c r="N12" i="86"/>
  <c r="R12" i="86" s="1"/>
  <c r="N5" i="86"/>
  <c r="S5" i="86" s="1"/>
  <c r="I66" i="97" s="1"/>
  <c r="N40" i="86"/>
  <c r="R40" i="86" s="1"/>
  <c r="N34" i="86"/>
  <c r="O34" i="86" s="1"/>
  <c r="N26" i="86"/>
  <c r="Q26" i="86" s="1"/>
  <c r="T26" i="86" s="1"/>
  <c r="N13" i="86"/>
  <c r="S13" i="86" s="1"/>
  <c r="N17" i="86"/>
  <c r="Q17" i="86" s="1"/>
  <c r="T17" i="86" s="1"/>
  <c r="N21" i="86"/>
  <c r="P21" i="86" s="1"/>
  <c r="N3" i="86"/>
  <c r="R3" i="86" s="1"/>
  <c r="H63" i="97" s="1"/>
  <c r="N47" i="86"/>
  <c r="S47" i="86" s="1"/>
  <c r="N29" i="86"/>
  <c r="R29" i="86" s="1"/>
  <c r="N38" i="86"/>
  <c r="O38" i="86" s="1"/>
  <c r="N15" i="86"/>
  <c r="R15" i="86" s="1"/>
  <c r="N2" i="86"/>
  <c r="S2" i="86" s="1"/>
  <c r="I62" i="97" s="1"/>
  <c r="N27" i="86"/>
  <c r="Q27" i="86" s="1"/>
  <c r="T27" i="86" s="1"/>
  <c r="N6" i="86"/>
  <c r="P6" i="86" s="1"/>
  <c r="F67" i="97" s="1"/>
  <c r="N9" i="86"/>
  <c r="R9" i="86" s="1"/>
  <c r="N24" i="86"/>
  <c r="S24" i="86" s="1"/>
  <c r="N10" i="86"/>
  <c r="R10" i="86" s="1"/>
  <c r="N16" i="86"/>
  <c r="O16" i="86" s="1"/>
  <c r="N4" i="86"/>
  <c r="Q4" i="86" s="1"/>
  <c r="N51" i="87"/>
  <c r="S51" i="87" s="1"/>
  <c r="N32" i="87"/>
  <c r="R32" i="87" s="1"/>
  <c r="N40" i="87"/>
  <c r="O40" i="87" s="1"/>
  <c r="N36" i="87"/>
  <c r="S36" i="87" s="1"/>
  <c r="N30" i="87"/>
  <c r="S30" i="87" s="1"/>
  <c r="N31" i="87"/>
  <c r="Q31" i="87" s="1"/>
  <c r="T31" i="87" s="1"/>
  <c r="N45" i="87"/>
  <c r="O45" i="87" s="1"/>
  <c r="N35" i="87"/>
  <c r="S35" i="87" s="1"/>
  <c r="N34" i="87"/>
  <c r="S34" i="87" s="1"/>
  <c r="N33" i="87"/>
  <c r="Q33" i="87" s="1"/>
  <c r="T33" i="87" s="1"/>
  <c r="N44" i="87"/>
  <c r="O44" i="87" s="1"/>
  <c r="N28" i="87"/>
  <c r="S28" i="87" s="1"/>
  <c r="N26" i="87"/>
  <c r="S26" i="87" s="1"/>
  <c r="N21" i="87"/>
  <c r="Q21" i="87" s="1"/>
  <c r="T21" i="87" s="1"/>
  <c r="N23" i="87"/>
  <c r="O23" i="87" s="1"/>
  <c r="N27" i="87"/>
  <c r="S27" i="87" s="1"/>
  <c r="N15" i="87"/>
  <c r="S15" i="87" s="1"/>
  <c r="N54" i="87"/>
  <c r="Q54" i="87" s="1"/>
  <c r="T54" i="87" s="1"/>
  <c r="N42" i="87"/>
  <c r="O42" i="87" s="1"/>
  <c r="N43" i="87"/>
  <c r="S43" i="87" s="1"/>
  <c r="N58" i="87"/>
  <c r="S58" i="87" s="1"/>
  <c r="N57" i="87"/>
  <c r="Q57" i="87" s="1"/>
  <c r="T57" i="87" s="1"/>
  <c r="N37" i="87"/>
  <c r="O37" i="87" s="1"/>
  <c r="N19" i="87"/>
  <c r="R19" i="87" s="1"/>
  <c r="N55" i="87"/>
  <c r="S55" i="87" s="1"/>
  <c r="N39" i="87"/>
  <c r="Q39" i="87" s="1"/>
  <c r="T39" i="87" s="1"/>
  <c r="N41" i="87"/>
  <c r="O41" i="87" s="1"/>
  <c r="N46" i="87"/>
  <c r="S46" i="87" s="1"/>
  <c r="N52" i="87"/>
  <c r="S52" i="87" s="1"/>
  <c r="N53" i="87"/>
  <c r="Q53" i="87" s="1"/>
  <c r="T53" i="87" s="1"/>
  <c r="N47" i="87"/>
  <c r="O47" i="87" s="1"/>
  <c r="N29" i="87"/>
  <c r="R29" i="87" s="1"/>
  <c r="N62" i="87"/>
  <c r="S62" i="87" s="1"/>
  <c r="N49" i="87"/>
  <c r="Q49" i="87" s="1"/>
  <c r="T49" i="87" s="1"/>
  <c r="N25" i="87"/>
  <c r="O25" i="87" s="1"/>
  <c r="N38" i="87"/>
  <c r="S38" i="87" s="1"/>
  <c r="N12" i="87"/>
  <c r="S12" i="87" s="1"/>
  <c r="N22" i="87"/>
  <c r="Q22" i="87" s="1"/>
  <c r="T22" i="87" s="1"/>
  <c r="N50" i="87"/>
  <c r="O50" i="87" s="1"/>
  <c r="N17" i="87"/>
  <c r="S17" i="87" s="1"/>
  <c r="N63" i="87"/>
  <c r="S63" i="87" s="1"/>
  <c r="N24" i="87"/>
  <c r="Q24" i="87" s="1"/>
  <c r="T24" i="87" s="1"/>
  <c r="N48" i="87"/>
  <c r="O48" i="87" s="1"/>
  <c r="N9" i="87"/>
  <c r="P9" i="87" s="1"/>
  <c r="F55" i="97" s="1"/>
  <c r="N64" i="87"/>
  <c r="S64" i="87" s="1"/>
  <c r="N59" i="87"/>
  <c r="Q59" i="87" s="1"/>
  <c r="T59" i="87" s="1"/>
  <c r="N11" i="87"/>
  <c r="O11" i="87" s="1"/>
  <c r="E57" i="97" s="1"/>
  <c r="N56" i="87"/>
  <c r="S56" i="87" s="1"/>
  <c r="N16" i="87"/>
  <c r="S16" i="87" s="1"/>
  <c r="N8" i="87"/>
  <c r="Q8" i="87" s="1"/>
  <c r="N10" i="87"/>
  <c r="O10" i="87" s="1"/>
  <c r="E56" i="97" s="1"/>
  <c r="N4" i="87"/>
  <c r="S4" i="87" s="1"/>
  <c r="I50" i="97" s="1"/>
  <c r="N2" i="87"/>
  <c r="S2" i="87" s="1"/>
  <c r="I48" i="97" s="1"/>
  <c r="N66" i="87"/>
  <c r="Q66" i="87" s="1"/>
  <c r="T66" i="87" s="1"/>
  <c r="N73" i="87"/>
  <c r="O73" i="87" s="1"/>
  <c r="N61" i="87"/>
  <c r="R61" i="87" s="1"/>
  <c r="N13" i="87"/>
  <c r="S13" i="87" s="1"/>
  <c r="N20" i="87"/>
  <c r="Q20" i="87" s="1"/>
  <c r="T20" i="87" s="1"/>
  <c r="N71" i="87"/>
  <c r="O71" i="87" s="1"/>
  <c r="N3" i="87"/>
  <c r="S3" i="87" s="1"/>
  <c r="I49" i="97" s="1"/>
  <c r="N65" i="87"/>
  <c r="S65" i="87" s="1"/>
  <c r="N60" i="87"/>
  <c r="Q60" i="87" s="1"/>
  <c r="T60" i="87" s="1"/>
  <c r="N70" i="87"/>
  <c r="O70" i="87" s="1"/>
  <c r="N72" i="87"/>
  <c r="R72" i="87" s="1"/>
  <c r="N68" i="87"/>
  <c r="S68" i="87" s="1"/>
  <c r="N6" i="87"/>
  <c r="Q6" i="87" s="1"/>
  <c r="N74" i="87"/>
  <c r="O74" i="87" s="1"/>
  <c r="N14" i="87"/>
  <c r="S14" i="87" s="1"/>
  <c r="N69" i="87"/>
  <c r="S69" i="87" s="1"/>
  <c r="N76" i="87"/>
  <c r="Q76" i="87" s="1"/>
  <c r="T76" i="87" s="1"/>
  <c r="N7" i="87"/>
  <c r="O7" i="87" s="1"/>
  <c r="E53" i="97" s="1"/>
  <c r="N67" i="87"/>
  <c r="S67" i="87" s="1"/>
  <c r="N75" i="87"/>
  <c r="S75" i="87" s="1"/>
  <c r="N18" i="87"/>
  <c r="Q18" i="87" s="1"/>
  <c r="T18" i="87" s="1"/>
  <c r="N5" i="87"/>
  <c r="O5" i="87" s="1"/>
  <c r="E51" i="97" s="1"/>
  <c r="N38" i="85"/>
  <c r="S38" i="85" s="1"/>
  <c r="N39" i="85"/>
  <c r="R39" i="85" s="1"/>
  <c r="N29" i="85"/>
  <c r="O29" i="85" s="1"/>
  <c r="N57" i="85"/>
  <c r="Q57" i="85" s="1"/>
  <c r="T57" i="85" s="1"/>
  <c r="N28" i="85"/>
  <c r="S28" i="85" s="1"/>
  <c r="N19" i="85"/>
  <c r="Q19" i="85" s="1"/>
  <c r="T19" i="85" s="1"/>
  <c r="N37" i="85"/>
  <c r="O37" i="85" s="1"/>
  <c r="N23" i="85"/>
  <c r="S23" i="85" s="1"/>
  <c r="N25" i="85"/>
  <c r="S25" i="85" s="1"/>
  <c r="N24" i="85"/>
  <c r="Q24" i="85" s="1"/>
  <c r="T24" i="85" s="1"/>
  <c r="N36" i="85"/>
  <c r="O36" i="85" s="1"/>
  <c r="N35" i="85"/>
  <c r="R35" i="85" s="1"/>
  <c r="N31" i="85"/>
  <c r="S31" i="85" s="1"/>
  <c r="N48" i="85"/>
  <c r="Q48" i="85" s="1"/>
  <c r="T48" i="85" s="1"/>
  <c r="N30" i="85"/>
  <c r="O30" i="85" s="1"/>
  <c r="N26" i="85"/>
  <c r="S26" i="85" s="1"/>
  <c r="N7" i="85"/>
  <c r="S7" i="85" s="1"/>
  <c r="I39" i="97" s="1"/>
  <c r="N55" i="85"/>
  <c r="Q55" i="85" s="1"/>
  <c r="T55" i="85" s="1"/>
  <c r="N21" i="85"/>
  <c r="O21" i="85" s="1"/>
  <c r="N47" i="85"/>
  <c r="O47" i="85" s="1"/>
  <c r="N44" i="85"/>
  <c r="S44" i="85" s="1"/>
  <c r="N10" i="85"/>
  <c r="Q10" i="85" s="1"/>
  <c r="S71" i="85"/>
  <c r="R71" i="85"/>
  <c r="Q71" i="85"/>
  <c r="T71" i="85" s="1"/>
  <c r="N71" i="85"/>
  <c r="O71" i="85" s="1"/>
  <c r="N50" i="85"/>
  <c r="S50" i="85" s="1"/>
  <c r="N40" i="85"/>
  <c r="S40" i="85" s="1"/>
  <c r="N15" i="85"/>
  <c r="Q15" i="85" s="1"/>
  <c r="T15" i="85" s="1"/>
  <c r="N49" i="85"/>
  <c r="O49" i="85" s="1"/>
  <c r="N68" i="85"/>
  <c r="Q68" i="85" s="1"/>
  <c r="T68" i="85" s="1"/>
  <c r="N17" i="85"/>
  <c r="S17" i="85" s="1"/>
  <c r="N22" i="85"/>
  <c r="Q22" i="85" s="1"/>
  <c r="T22" i="85" s="1"/>
  <c r="N6" i="85"/>
  <c r="O6" i="85" s="1"/>
  <c r="E38" i="97" s="1"/>
  <c r="N12" i="85"/>
  <c r="S12" i="85" s="1"/>
  <c r="N8" i="85"/>
  <c r="S8" i="85" s="1"/>
  <c r="I40" i="97" s="1"/>
  <c r="N65" i="85"/>
  <c r="Q65" i="85" s="1"/>
  <c r="T65" i="85" s="1"/>
  <c r="N43" i="85"/>
  <c r="O43" i="85" s="1"/>
  <c r="N45" i="85"/>
  <c r="O45" i="85" s="1"/>
  <c r="N54" i="85"/>
  <c r="S54" i="85" s="1"/>
  <c r="N70" i="85"/>
  <c r="Q70" i="85" s="1"/>
  <c r="T70" i="85" s="1"/>
  <c r="N9" i="85"/>
  <c r="O9" i="85" s="1"/>
  <c r="E41" i="97" s="1"/>
  <c r="N64" i="85"/>
  <c r="O64" i="85" s="1"/>
  <c r="N76" i="85"/>
  <c r="S76" i="85" s="1"/>
  <c r="N61" i="85"/>
  <c r="Q61" i="85" s="1"/>
  <c r="T61" i="85" s="1"/>
  <c r="N4" i="85"/>
  <c r="O4" i="85" s="1"/>
  <c r="E36" i="97" s="1"/>
  <c r="N74" i="85"/>
  <c r="S74" i="85" s="1"/>
  <c r="N33" i="85"/>
  <c r="S33" i="85" s="1"/>
  <c r="N32" i="85"/>
  <c r="Q32" i="85" s="1"/>
  <c r="T32" i="85" s="1"/>
  <c r="N18" i="85"/>
  <c r="O18" i="85" s="1"/>
  <c r="N60" i="85"/>
  <c r="S60" i="85" s="1"/>
  <c r="N67" i="85"/>
  <c r="S67" i="85" s="1"/>
  <c r="N75" i="85"/>
  <c r="Q75" i="85" s="1"/>
  <c r="T75" i="85" s="1"/>
  <c r="N51" i="85"/>
  <c r="O51" i="85" s="1"/>
  <c r="R52" i="85"/>
  <c r="N52" i="85"/>
  <c r="S52" i="85" s="1"/>
  <c r="N11" i="85"/>
  <c r="S11" i="85" s="1"/>
  <c r="I43" i="97" s="1"/>
  <c r="N34" i="85"/>
  <c r="Q34" i="85" s="1"/>
  <c r="T34" i="85" s="1"/>
  <c r="N16" i="85"/>
  <c r="O16" i="85" s="1"/>
  <c r="N20" i="85"/>
  <c r="S20" i="85" s="1"/>
  <c r="N42" i="85"/>
  <c r="S42" i="85" s="1"/>
  <c r="N63" i="85"/>
  <c r="Q63" i="85" s="1"/>
  <c r="T63" i="85" s="1"/>
  <c r="N58" i="85"/>
  <c r="O58" i="85" s="1"/>
  <c r="N2" i="85"/>
  <c r="R2" i="85" s="1"/>
  <c r="H34" i="97" s="1"/>
  <c r="N73" i="85"/>
  <c r="S73" i="85" s="1"/>
  <c r="N3" i="85"/>
  <c r="Q3" i="85" s="1"/>
  <c r="S62" i="85"/>
  <c r="R62" i="85"/>
  <c r="Q62" i="85"/>
  <c r="T62" i="85" s="1"/>
  <c r="N62" i="85"/>
  <c r="O62" i="85" s="1"/>
  <c r="N46" i="85"/>
  <c r="O46" i="85" s="1"/>
  <c r="N66" i="85"/>
  <c r="S66" i="85" s="1"/>
  <c r="N27" i="85"/>
  <c r="Q27" i="85" s="1"/>
  <c r="T27" i="85" s="1"/>
  <c r="N14" i="85"/>
  <c r="O14" i="85" s="1"/>
  <c r="N13" i="85"/>
  <c r="Q13" i="85" s="1"/>
  <c r="T13" i="85" s="1"/>
  <c r="N59" i="85"/>
  <c r="S59" i="85" s="1"/>
  <c r="N72" i="85"/>
  <c r="Q72" i="85" s="1"/>
  <c r="T72" i="85" s="1"/>
  <c r="N5" i="85"/>
  <c r="O5" i="85" s="1"/>
  <c r="E37" i="97" s="1"/>
  <c r="N56" i="85"/>
  <c r="S56" i="85" s="1"/>
  <c r="N41" i="85"/>
  <c r="S41" i="85" s="1"/>
  <c r="N53" i="85"/>
  <c r="Q53" i="85" s="1"/>
  <c r="T53" i="85" s="1"/>
  <c r="N69" i="85"/>
  <c r="O69" i="85" s="1"/>
  <c r="V676" i="75"/>
  <c r="V675" i="75"/>
  <c r="V674" i="75"/>
  <c r="V673" i="75"/>
  <c r="V672" i="75"/>
  <c r="V671" i="75"/>
  <c r="V670" i="75"/>
  <c r="V669" i="75"/>
  <c r="V668" i="75"/>
  <c r="V667" i="75"/>
  <c r="V666" i="75"/>
  <c r="V665" i="75"/>
  <c r="V664" i="75"/>
  <c r="V663" i="75"/>
  <c r="V662" i="75"/>
  <c r="V661" i="75"/>
  <c r="V660" i="75"/>
  <c r="V659" i="75"/>
  <c r="V658" i="75"/>
  <c r="V657" i="75"/>
  <c r="V656" i="75"/>
  <c r="V655" i="75"/>
  <c r="V654" i="75"/>
  <c r="V653" i="75"/>
  <c r="V652" i="75"/>
  <c r="V651" i="75"/>
  <c r="V650" i="75"/>
  <c r="V649" i="75"/>
  <c r="V648" i="75"/>
  <c r="V647" i="75"/>
  <c r="V646" i="75"/>
  <c r="V645" i="75"/>
  <c r="V644" i="75"/>
  <c r="V643" i="75"/>
  <c r="V642" i="75"/>
  <c r="V641" i="75"/>
  <c r="V640" i="75"/>
  <c r="V639" i="75"/>
  <c r="V638" i="75"/>
  <c r="V637" i="75"/>
  <c r="V636" i="75"/>
  <c r="V635" i="75"/>
  <c r="V634" i="75"/>
  <c r="V633" i="75"/>
  <c r="V632" i="75"/>
  <c r="V631" i="75"/>
  <c r="V630" i="75"/>
  <c r="V629" i="75"/>
  <c r="V628" i="75"/>
  <c r="V627" i="75"/>
  <c r="V626" i="75"/>
  <c r="V625" i="75"/>
  <c r="V624" i="75"/>
  <c r="V623" i="75"/>
  <c r="V622" i="75"/>
  <c r="V621" i="75"/>
  <c r="V620" i="75"/>
  <c r="V619" i="75"/>
  <c r="V618" i="75"/>
  <c r="V617" i="75"/>
  <c r="V616" i="75"/>
  <c r="V615" i="75"/>
  <c r="V614" i="75"/>
  <c r="V613" i="75"/>
  <c r="V612" i="75"/>
  <c r="V611" i="75"/>
  <c r="V610" i="75"/>
  <c r="V609" i="75"/>
  <c r="V608" i="75"/>
  <c r="V607" i="75"/>
  <c r="V606" i="75"/>
  <c r="V605" i="75"/>
  <c r="V604" i="75"/>
  <c r="V603" i="75"/>
  <c r="V602" i="75"/>
  <c r="V601" i="75"/>
  <c r="V600" i="75"/>
  <c r="V599" i="75"/>
  <c r="V598" i="75"/>
  <c r="V597" i="75"/>
  <c r="V596" i="75"/>
  <c r="V595" i="75"/>
  <c r="V594" i="75"/>
  <c r="V593" i="75"/>
  <c r="V592" i="75"/>
  <c r="V591" i="75"/>
  <c r="V590" i="75"/>
  <c r="V589" i="75"/>
  <c r="V588" i="75"/>
  <c r="V587" i="75"/>
  <c r="V586" i="75"/>
  <c r="V585" i="75"/>
  <c r="V584" i="75"/>
  <c r="V583" i="75"/>
  <c r="V582" i="75"/>
  <c r="V581" i="75"/>
  <c r="V580" i="75"/>
  <c r="V579" i="75"/>
  <c r="V578" i="75"/>
  <c r="V577" i="75"/>
  <c r="V576" i="75"/>
  <c r="V575" i="75"/>
  <c r="V574" i="75"/>
  <c r="V573" i="75"/>
  <c r="V572" i="75"/>
  <c r="V571" i="75"/>
  <c r="V570" i="75"/>
  <c r="V569" i="75"/>
  <c r="V568" i="75"/>
  <c r="V567" i="75"/>
  <c r="V566" i="75"/>
  <c r="V565" i="75"/>
  <c r="V564" i="75"/>
  <c r="V563" i="75"/>
  <c r="V562" i="75"/>
  <c r="V561" i="75"/>
  <c r="V560" i="75"/>
  <c r="V559" i="75"/>
  <c r="V558" i="75"/>
  <c r="V557" i="75"/>
  <c r="V556" i="75"/>
  <c r="V555" i="75"/>
  <c r="V554" i="75"/>
  <c r="V553" i="75"/>
  <c r="V552" i="75"/>
  <c r="V551" i="75"/>
  <c r="V550" i="75"/>
  <c r="V549" i="75"/>
  <c r="V548" i="75"/>
  <c r="V547" i="75"/>
  <c r="V546" i="75"/>
  <c r="V545" i="75"/>
  <c r="V544" i="75"/>
  <c r="V543" i="75"/>
  <c r="V542" i="75"/>
  <c r="V541" i="75"/>
  <c r="V540" i="75"/>
  <c r="V539" i="75"/>
  <c r="V538" i="75"/>
  <c r="V537" i="75"/>
  <c r="V536" i="75"/>
  <c r="V535" i="75"/>
  <c r="V534" i="75"/>
  <c r="V533" i="75"/>
  <c r="V532" i="75"/>
  <c r="V531" i="75"/>
  <c r="V530" i="75"/>
  <c r="V529" i="75"/>
  <c r="V528" i="75"/>
  <c r="V527" i="75"/>
  <c r="V526" i="75"/>
  <c r="V525" i="75"/>
  <c r="V524" i="75"/>
  <c r="V523" i="75"/>
  <c r="V522" i="75"/>
  <c r="V521" i="75"/>
  <c r="V520" i="75"/>
  <c r="V519" i="75"/>
  <c r="V518" i="75"/>
  <c r="V517" i="75"/>
  <c r="V516" i="75"/>
  <c r="V515" i="75"/>
  <c r="V514" i="75"/>
  <c r="V513" i="75"/>
  <c r="V512" i="75"/>
  <c r="V511" i="75"/>
  <c r="V510" i="75"/>
  <c r="V509" i="75"/>
  <c r="V508" i="75"/>
  <c r="V507" i="75"/>
  <c r="V506" i="75"/>
  <c r="V505" i="75"/>
  <c r="V504" i="75"/>
  <c r="V503" i="75"/>
  <c r="V502" i="75"/>
  <c r="V501" i="75"/>
  <c r="V500" i="75"/>
  <c r="V499" i="75"/>
  <c r="V498" i="75"/>
  <c r="V497" i="75"/>
  <c r="V496" i="75"/>
  <c r="V495" i="75"/>
  <c r="V494" i="75"/>
  <c r="V493" i="75"/>
  <c r="V492" i="75"/>
  <c r="V491" i="75"/>
  <c r="V490" i="75"/>
  <c r="V489" i="75"/>
  <c r="V488" i="75"/>
  <c r="V487" i="75"/>
  <c r="V486" i="75"/>
  <c r="V485" i="75"/>
  <c r="V484" i="75"/>
  <c r="V483" i="75"/>
  <c r="V482" i="75"/>
  <c r="V481" i="75"/>
  <c r="V480" i="75"/>
  <c r="V479" i="75"/>
  <c r="V478" i="75"/>
  <c r="V477" i="75"/>
  <c r="V476" i="75"/>
  <c r="V475" i="75"/>
  <c r="V474" i="75"/>
  <c r="V473" i="75"/>
  <c r="V472" i="75"/>
  <c r="V471" i="75"/>
  <c r="V470" i="75"/>
  <c r="V469" i="75"/>
  <c r="V468" i="75"/>
  <c r="V467" i="75"/>
  <c r="V466" i="75"/>
  <c r="V465" i="75"/>
  <c r="V464" i="75"/>
  <c r="V463" i="75"/>
  <c r="V462" i="75"/>
  <c r="V461" i="75"/>
  <c r="V460" i="75"/>
  <c r="V459" i="75"/>
  <c r="V458" i="75"/>
  <c r="V457" i="75"/>
  <c r="V456" i="75"/>
  <c r="V455" i="75"/>
  <c r="V454" i="75"/>
  <c r="V453" i="75"/>
  <c r="V452" i="75"/>
  <c r="V451" i="75"/>
  <c r="V450" i="75"/>
  <c r="V449" i="75"/>
  <c r="V448" i="75"/>
  <c r="V447" i="75"/>
  <c r="V446" i="75"/>
  <c r="V445" i="75"/>
  <c r="V444" i="75"/>
  <c r="V443" i="75"/>
  <c r="V442" i="75"/>
  <c r="V441" i="75"/>
  <c r="V440" i="75"/>
  <c r="V439" i="75"/>
  <c r="V438" i="75"/>
  <c r="V437" i="75"/>
  <c r="V436" i="75"/>
  <c r="V435" i="75"/>
  <c r="V434" i="75"/>
  <c r="V433" i="75"/>
  <c r="V432" i="75"/>
  <c r="V431" i="75"/>
  <c r="V430" i="75"/>
  <c r="V429" i="75"/>
  <c r="V428" i="75"/>
  <c r="V427" i="75"/>
  <c r="V426" i="75"/>
  <c r="V425" i="75"/>
  <c r="V424" i="75"/>
  <c r="V423" i="75"/>
  <c r="V422" i="75"/>
  <c r="V421" i="75"/>
  <c r="V420" i="75"/>
  <c r="V419" i="75"/>
  <c r="V418" i="75"/>
  <c r="V417" i="75"/>
  <c r="V416" i="75"/>
  <c r="V415" i="75"/>
  <c r="V414" i="75"/>
  <c r="V413" i="75"/>
  <c r="V412" i="75"/>
  <c r="V411" i="75"/>
  <c r="V410" i="75"/>
  <c r="V409" i="75"/>
  <c r="V408" i="75"/>
  <c r="V407" i="75"/>
  <c r="V406" i="75"/>
  <c r="V405" i="75"/>
  <c r="V404" i="75"/>
  <c r="V403" i="75"/>
  <c r="V402" i="75"/>
  <c r="V401" i="75"/>
  <c r="V400" i="75"/>
  <c r="V399" i="75"/>
  <c r="V398" i="75"/>
  <c r="V397" i="75"/>
  <c r="V396" i="75"/>
  <c r="V395" i="75"/>
  <c r="V394" i="75"/>
  <c r="V393" i="75"/>
  <c r="V392" i="75"/>
  <c r="V391" i="75"/>
  <c r="V390" i="75"/>
  <c r="V389" i="75"/>
  <c r="V388" i="75"/>
  <c r="V387" i="75"/>
  <c r="V386" i="75"/>
  <c r="V385" i="75"/>
  <c r="V384" i="75"/>
  <c r="V383" i="75"/>
  <c r="V382" i="75"/>
  <c r="V381" i="75"/>
  <c r="V380" i="75"/>
  <c r="V379" i="75"/>
  <c r="V378" i="75"/>
  <c r="V377" i="75"/>
  <c r="V376" i="75"/>
  <c r="V375" i="75"/>
  <c r="V374" i="75"/>
  <c r="V373" i="75"/>
  <c r="V372" i="75"/>
  <c r="V371" i="75"/>
  <c r="V370" i="75"/>
  <c r="V369" i="75"/>
  <c r="V368" i="75"/>
  <c r="V367" i="75"/>
  <c r="V366" i="75"/>
  <c r="V365" i="75"/>
  <c r="V364" i="75"/>
  <c r="V363" i="75"/>
  <c r="V362" i="75"/>
  <c r="V361" i="75"/>
  <c r="V360" i="75"/>
  <c r="V359" i="75"/>
  <c r="V358" i="75"/>
  <c r="V357" i="75"/>
  <c r="V356" i="75"/>
  <c r="V355" i="75"/>
  <c r="V354" i="75"/>
  <c r="V353" i="75"/>
  <c r="V352" i="75"/>
  <c r="V351" i="75"/>
  <c r="V350" i="75"/>
  <c r="V349" i="75"/>
  <c r="V348" i="75"/>
  <c r="V347" i="75"/>
  <c r="V346" i="75"/>
  <c r="V345" i="75"/>
  <c r="V344" i="75"/>
  <c r="V343" i="75"/>
  <c r="V342" i="75"/>
  <c r="V341" i="75"/>
  <c r="V340" i="75"/>
  <c r="V339" i="75"/>
  <c r="V338" i="75"/>
  <c r="V337" i="75"/>
  <c r="V336" i="75"/>
  <c r="V335" i="75"/>
  <c r="V334" i="75"/>
  <c r="V333" i="75"/>
  <c r="V332" i="75"/>
  <c r="V331" i="75"/>
  <c r="V330" i="75"/>
  <c r="V329" i="75"/>
  <c r="V328" i="75"/>
  <c r="V327" i="75"/>
  <c r="V326" i="75"/>
  <c r="V325" i="75"/>
  <c r="V324" i="75"/>
  <c r="V323" i="75"/>
  <c r="V322" i="75"/>
  <c r="V321" i="75"/>
  <c r="V320" i="75"/>
  <c r="V319" i="75"/>
  <c r="V318" i="75"/>
  <c r="V317" i="75"/>
  <c r="V316" i="75"/>
  <c r="V315" i="75"/>
  <c r="V314" i="75"/>
  <c r="V313" i="75"/>
  <c r="V312" i="75"/>
  <c r="V311" i="75"/>
  <c r="V310" i="75"/>
  <c r="V309" i="75"/>
  <c r="V308" i="75"/>
  <c r="V307" i="75"/>
  <c r="V306" i="75"/>
  <c r="V305" i="75"/>
  <c r="V304" i="75"/>
  <c r="V303" i="75"/>
  <c r="V302" i="75"/>
  <c r="V301" i="75"/>
  <c r="V300" i="75"/>
  <c r="V299" i="75"/>
  <c r="V298" i="75"/>
  <c r="V297" i="75"/>
  <c r="V296" i="75"/>
  <c r="V295" i="75"/>
  <c r="V294" i="75"/>
  <c r="V293" i="75"/>
  <c r="V292" i="75"/>
  <c r="V291" i="75"/>
  <c r="V290" i="75"/>
  <c r="V289" i="75"/>
  <c r="V288" i="75"/>
  <c r="V287" i="75"/>
  <c r="V286" i="75"/>
  <c r="V285" i="75"/>
  <c r="V284" i="75"/>
  <c r="V283" i="75"/>
  <c r="V282" i="75"/>
  <c r="V281" i="75"/>
  <c r="V280" i="75"/>
  <c r="V279" i="75"/>
  <c r="V278" i="75"/>
  <c r="V277" i="75"/>
  <c r="V276" i="75"/>
  <c r="V275" i="75"/>
  <c r="V274" i="75"/>
  <c r="V273" i="75"/>
  <c r="V272" i="75"/>
  <c r="V271" i="75"/>
  <c r="V270" i="75"/>
  <c r="V269" i="75"/>
  <c r="V268" i="75"/>
  <c r="V267" i="75"/>
  <c r="V266" i="75"/>
  <c r="V265" i="75"/>
  <c r="V264" i="75"/>
  <c r="V263" i="75"/>
  <c r="V262" i="75"/>
  <c r="V261" i="75"/>
  <c r="V260" i="75"/>
  <c r="V259" i="75"/>
  <c r="V258" i="75"/>
  <c r="V257" i="75"/>
  <c r="V256" i="75"/>
  <c r="V255" i="75"/>
  <c r="V254" i="75"/>
  <c r="V253" i="75"/>
  <c r="V252" i="75"/>
  <c r="V251" i="75"/>
  <c r="V250" i="75"/>
  <c r="V249" i="75"/>
  <c r="V248" i="75"/>
  <c r="V247" i="75"/>
  <c r="V246" i="75"/>
  <c r="V245" i="75"/>
  <c r="V244" i="75"/>
  <c r="V243" i="75"/>
  <c r="V242" i="75"/>
  <c r="V241" i="75"/>
  <c r="V240" i="75"/>
  <c r="V239" i="75"/>
  <c r="V238" i="75"/>
  <c r="V237" i="75"/>
  <c r="V236" i="75"/>
  <c r="V235" i="75"/>
  <c r="V234" i="75"/>
  <c r="V233" i="75"/>
  <c r="V232" i="75"/>
  <c r="V231" i="75"/>
  <c r="V230" i="75"/>
  <c r="V229" i="75"/>
  <c r="V228" i="75"/>
  <c r="V227" i="75"/>
  <c r="V226" i="75"/>
  <c r="V225" i="75"/>
  <c r="V224" i="75"/>
  <c r="V223" i="75"/>
  <c r="V222" i="75"/>
  <c r="V221" i="75"/>
  <c r="V220" i="75"/>
  <c r="V219" i="75"/>
  <c r="V218" i="75"/>
  <c r="V217" i="75"/>
  <c r="V216" i="75"/>
  <c r="V215" i="75"/>
  <c r="V214" i="75"/>
  <c r="V213" i="75"/>
  <c r="V212" i="75"/>
  <c r="V211" i="75"/>
  <c r="V210" i="75"/>
  <c r="V209" i="75"/>
  <c r="V208" i="75"/>
  <c r="V207" i="75"/>
  <c r="V206" i="75"/>
  <c r="V205" i="75"/>
  <c r="V204" i="75"/>
  <c r="V203" i="75"/>
  <c r="V202" i="75"/>
  <c r="V201" i="75"/>
  <c r="V200" i="75"/>
  <c r="V199" i="75"/>
  <c r="V198" i="75"/>
  <c r="V197" i="75"/>
  <c r="V196" i="75"/>
  <c r="V195" i="75"/>
  <c r="V194" i="75"/>
  <c r="V193" i="75"/>
  <c r="V192" i="75"/>
  <c r="V191" i="75"/>
  <c r="V190" i="75"/>
  <c r="V189" i="75"/>
  <c r="V188" i="75"/>
  <c r="V187" i="75"/>
  <c r="V186" i="75"/>
  <c r="V185" i="75"/>
  <c r="V184" i="75"/>
  <c r="V183" i="75"/>
  <c r="V182" i="75"/>
  <c r="V181" i="75"/>
  <c r="V180" i="75"/>
  <c r="V179" i="75"/>
  <c r="V178" i="75"/>
  <c r="V177" i="75"/>
  <c r="V176" i="75"/>
  <c r="V175" i="75"/>
  <c r="V174" i="75"/>
  <c r="V173" i="75"/>
  <c r="V172" i="75"/>
  <c r="V171" i="75"/>
  <c r="V170" i="75"/>
  <c r="V169" i="75"/>
  <c r="V168" i="75"/>
  <c r="V167" i="75"/>
  <c r="V166" i="75"/>
  <c r="V165" i="75"/>
  <c r="V164" i="75"/>
  <c r="V163" i="75"/>
  <c r="V162" i="75"/>
  <c r="V161" i="75"/>
  <c r="V160" i="75"/>
  <c r="V159" i="75"/>
  <c r="V158" i="75"/>
  <c r="V157" i="75"/>
  <c r="V156" i="75"/>
  <c r="V155" i="75"/>
  <c r="V154" i="75"/>
  <c r="V153" i="75"/>
  <c r="V152" i="75"/>
  <c r="V151" i="75"/>
  <c r="V150" i="75"/>
  <c r="V149" i="75"/>
  <c r="V148" i="75"/>
  <c r="V147" i="75"/>
  <c r="V146" i="75"/>
  <c r="V145" i="75"/>
  <c r="V144" i="75"/>
  <c r="V143" i="75"/>
  <c r="V142" i="75"/>
  <c r="V141" i="75"/>
  <c r="V140" i="75"/>
  <c r="V139" i="75"/>
  <c r="V138" i="75"/>
  <c r="V137" i="75"/>
  <c r="V136" i="75"/>
  <c r="V135" i="75"/>
  <c r="V134" i="75"/>
  <c r="V133" i="75"/>
  <c r="V132" i="75"/>
  <c r="V131" i="75"/>
  <c r="V130" i="75"/>
  <c r="V129" i="75"/>
  <c r="V128" i="75"/>
  <c r="V127" i="75"/>
  <c r="V126" i="75"/>
  <c r="V125" i="75"/>
  <c r="V124" i="75"/>
  <c r="V123" i="75"/>
  <c r="V122" i="75"/>
  <c r="V121" i="75"/>
  <c r="V120" i="75"/>
  <c r="V119" i="75"/>
  <c r="V118" i="75"/>
  <c r="V117" i="75"/>
  <c r="V116" i="75"/>
  <c r="V115" i="75"/>
  <c r="V114" i="75"/>
  <c r="V113" i="75"/>
  <c r="V112" i="75"/>
  <c r="V111" i="75"/>
  <c r="V110" i="75"/>
  <c r="V109" i="75"/>
  <c r="V108" i="75"/>
  <c r="V107" i="75"/>
  <c r="V106" i="75"/>
  <c r="V105" i="75"/>
  <c r="V104" i="75"/>
  <c r="V103" i="75"/>
  <c r="V102" i="75"/>
  <c r="V101" i="75"/>
  <c r="V100" i="75"/>
  <c r="V99" i="75"/>
  <c r="V98" i="75"/>
  <c r="V97" i="75"/>
  <c r="V96" i="75"/>
  <c r="V95" i="75"/>
  <c r="V94" i="75"/>
  <c r="V93" i="75"/>
  <c r="V92" i="75"/>
  <c r="V91" i="75"/>
  <c r="V90" i="75"/>
  <c r="V89" i="75"/>
  <c r="V88" i="75"/>
  <c r="V87" i="75"/>
  <c r="V86" i="75"/>
  <c r="V85" i="75"/>
  <c r="V84" i="75"/>
  <c r="V83" i="75"/>
  <c r="V82" i="75"/>
  <c r="V81" i="75"/>
  <c r="V80" i="75"/>
  <c r="V79" i="75"/>
  <c r="V78" i="75"/>
  <c r="V77" i="75"/>
  <c r="V76" i="75"/>
  <c r="V75" i="75"/>
  <c r="V74" i="75"/>
  <c r="V73" i="75"/>
  <c r="V72" i="75"/>
  <c r="V71" i="75"/>
  <c r="V70" i="75"/>
  <c r="V69" i="75"/>
  <c r="V68" i="75"/>
  <c r="V67" i="75"/>
  <c r="V66" i="75"/>
  <c r="V65" i="75"/>
  <c r="V64" i="75"/>
  <c r="V63" i="75"/>
  <c r="V62" i="75"/>
  <c r="V61" i="75"/>
  <c r="V60" i="75"/>
  <c r="V59" i="75"/>
  <c r="V58" i="75"/>
  <c r="V57" i="75"/>
  <c r="V56" i="75"/>
  <c r="V55" i="75"/>
  <c r="V54" i="75"/>
  <c r="V53" i="75"/>
  <c r="V52" i="75"/>
  <c r="V51" i="75"/>
  <c r="V50" i="75"/>
  <c r="V49" i="75"/>
  <c r="V48" i="75"/>
  <c r="V47" i="75"/>
  <c r="V46" i="75"/>
  <c r="V45" i="75"/>
  <c r="V44" i="75"/>
  <c r="V43" i="75"/>
  <c r="V42" i="75"/>
  <c r="V41" i="75"/>
  <c r="V40" i="75"/>
  <c r="V39" i="75"/>
  <c r="V38" i="75"/>
  <c r="V37" i="75"/>
  <c r="V36" i="75"/>
  <c r="V35" i="75"/>
  <c r="V34" i="75"/>
  <c r="V33" i="75"/>
  <c r="V32" i="75"/>
  <c r="V31" i="75"/>
  <c r="V30" i="75"/>
  <c r="V29" i="75"/>
  <c r="V28" i="75"/>
  <c r="V27" i="75"/>
  <c r="V26" i="75"/>
  <c r="V25" i="75"/>
  <c r="V24" i="75"/>
  <c r="V23" i="75"/>
  <c r="V22" i="75"/>
  <c r="V21" i="75"/>
  <c r="V20" i="75"/>
  <c r="V19" i="75"/>
  <c r="V18" i="75"/>
  <c r="V17" i="75"/>
  <c r="V16" i="75"/>
  <c r="V15" i="75"/>
  <c r="V14" i="75"/>
  <c r="V13" i="75"/>
  <c r="V12" i="75"/>
  <c r="V11" i="75"/>
  <c r="V10" i="75"/>
  <c r="V9" i="75"/>
  <c r="V8" i="75"/>
  <c r="V7" i="75"/>
  <c r="V6" i="75"/>
  <c r="V5" i="75"/>
  <c r="V4" i="75"/>
  <c r="V3" i="75"/>
  <c r="V2" i="75"/>
  <c r="U676" i="75"/>
  <c r="T676" i="75"/>
  <c r="U675" i="75"/>
  <c r="T675" i="75"/>
  <c r="U674" i="75"/>
  <c r="T674" i="75"/>
  <c r="U673" i="75"/>
  <c r="T673" i="75"/>
  <c r="U672" i="75"/>
  <c r="T672" i="75"/>
  <c r="U671" i="75"/>
  <c r="T671" i="75"/>
  <c r="U670" i="75"/>
  <c r="T670" i="75"/>
  <c r="U669" i="75"/>
  <c r="T669" i="75"/>
  <c r="U668" i="75"/>
  <c r="T668" i="75"/>
  <c r="U667" i="75"/>
  <c r="T667" i="75"/>
  <c r="U666" i="75"/>
  <c r="T666" i="75"/>
  <c r="U665" i="75"/>
  <c r="T665" i="75"/>
  <c r="U664" i="75"/>
  <c r="T664" i="75"/>
  <c r="U663" i="75"/>
  <c r="T663" i="75"/>
  <c r="U662" i="75"/>
  <c r="T662" i="75"/>
  <c r="U661" i="75"/>
  <c r="T661" i="75"/>
  <c r="U660" i="75"/>
  <c r="T660" i="75"/>
  <c r="U659" i="75"/>
  <c r="T659" i="75"/>
  <c r="U658" i="75"/>
  <c r="T658" i="75"/>
  <c r="U657" i="75"/>
  <c r="T657" i="75"/>
  <c r="U656" i="75"/>
  <c r="T656" i="75"/>
  <c r="U655" i="75"/>
  <c r="T655" i="75"/>
  <c r="U654" i="75"/>
  <c r="T654" i="75"/>
  <c r="U653" i="75"/>
  <c r="T653" i="75"/>
  <c r="U652" i="75"/>
  <c r="T652" i="75"/>
  <c r="U651" i="75"/>
  <c r="T651" i="75"/>
  <c r="U650" i="75"/>
  <c r="T650" i="75"/>
  <c r="U649" i="75"/>
  <c r="T649" i="75"/>
  <c r="U648" i="75"/>
  <c r="T648" i="75"/>
  <c r="U647" i="75"/>
  <c r="T647" i="75"/>
  <c r="U646" i="75"/>
  <c r="T646" i="75"/>
  <c r="U645" i="75"/>
  <c r="T645" i="75"/>
  <c r="U644" i="75"/>
  <c r="T644" i="75"/>
  <c r="U643" i="75"/>
  <c r="T643" i="75"/>
  <c r="U642" i="75"/>
  <c r="T642" i="75"/>
  <c r="U641" i="75"/>
  <c r="T641" i="75"/>
  <c r="U640" i="75"/>
  <c r="T640" i="75"/>
  <c r="U639" i="75"/>
  <c r="T639" i="75"/>
  <c r="U638" i="75"/>
  <c r="T638" i="75"/>
  <c r="U637" i="75"/>
  <c r="T637" i="75"/>
  <c r="U636" i="75"/>
  <c r="T636" i="75"/>
  <c r="U635" i="75"/>
  <c r="T635" i="75"/>
  <c r="U634" i="75"/>
  <c r="T634" i="75"/>
  <c r="U633" i="75"/>
  <c r="T633" i="75"/>
  <c r="U632" i="75"/>
  <c r="T632" i="75"/>
  <c r="U631" i="75"/>
  <c r="T631" i="75"/>
  <c r="U630" i="75"/>
  <c r="T630" i="75"/>
  <c r="U629" i="75"/>
  <c r="T629" i="75"/>
  <c r="U628" i="75"/>
  <c r="T628" i="75"/>
  <c r="U627" i="75"/>
  <c r="T627" i="75"/>
  <c r="U626" i="75"/>
  <c r="T626" i="75"/>
  <c r="U625" i="75"/>
  <c r="T625" i="75"/>
  <c r="U624" i="75"/>
  <c r="T624" i="75"/>
  <c r="U623" i="75"/>
  <c r="T623" i="75"/>
  <c r="U622" i="75"/>
  <c r="T622" i="75"/>
  <c r="U621" i="75"/>
  <c r="T621" i="75"/>
  <c r="U620" i="75"/>
  <c r="T620" i="75"/>
  <c r="U619" i="75"/>
  <c r="T619" i="75"/>
  <c r="U618" i="75"/>
  <c r="T618" i="75"/>
  <c r="U617" i="75"/>
  <c r="T617" i="75"/>
  <c r="U616" i="75"/>
  <c r="T616" i="75"/>
  <c r="U615" i="75"/>
  <c r="T615" i="75"/>
  <c r="U614" i="75"/>
  <c r="T614" i="75"/>
  <c r="U613" i="75"/>
  <c r="T613" i="75"/>
  <c r="U612" i="75"/>
  <c r="T612" i="75"/>
  <c r="U611" i="75"/>
  <c r="T611" i="75"/>
  <c r="U610" i="75"/>
  <c r="T610" i="75"/>
  <c r="U609" i="75"/>
  <c r="T609" i="75"/>
  <c r="U608" i="75"/>
  <c r="T608" i="75"/>
  <c r="U607" i="75"/>
  <c r="T607" i="75"/>
  <c r="U606" i="75"/>
  <c r="T606" i="75"/>
  <c r="U605" i="75"/>
  <c r="T605" i="75"/>
  <c r="U604" i="75"/>
  <c r="T604" i="75"/>
  <c r="U603" i="75"/>
  <c r="T603" i="75"/>
  <c r="U602" i="75"/>
  <c r="T602" i="75"/>
  <c r="U601" i="75"/>
  <c r="T601" i="75"/>
  <c r="U600" i="75"/>
  <c r="T600" i="75"/>
  <c r="U599" i="75"/>
  <c r="T599" i="75"/>
  <c r="U598" i="75"/>
  <c r="T598" i="75"/>
  <c r="U597" i="75"/>
  <c r="T597" i="75"/>
  <c r="U596" i="75"/>
  <c r="T596" i="75"/>
  <c r="U595" i="75"/>
  <c r="T595" i="75"/>
  <c r="U594" i="75"/>
  <c r="T594" i="75"/>
  <c r="U593" i="75"/>
  <c r="T593" i="75"/>
  <c r="U592" i="75"/>
  <c r="T592" i="75"/>
  <c r="U591" i="75"/>
  <c r="T591" i="75"/>
  <c r="U590" i="75"/>
  <c r="T590" i="75"/>
  <c r="U589" i="75"/>
  <c r="T589" i="75"/>
  <c r="U588" i="75"/>
  <c r="T588" i="75"/>
  <c r="U587" i="75"/>
  <c r="T587" i="75"/>
  <c r="U586" i="75"/>
  <c r="T586" i="75"/>
  <c r="U585" i="75"/>
  <c r="T585" i="75"/>
  <c r="U584" i="75"/>
  <c r="T584" i="75"/>
  <c r="U583" i="75"/>
  <c r="T583" i="75"/>
  <c r="U582" i="75"/>
  <c r="T582" i="75"/>
  <c r="U581" i="75"/>
  <c r="T581" i="75"/>
  <c r="U580" i="75"/>
  <c r="T580" i="75"/>
  <c r="U579" i="75"/>
  <c r="T579" i="75"/>
  <c r="U578" i="75"/>
  <c r="T578" i="75"/>
  <c r="U577" i="75"/>
  <c r="T577" i="75"/>
  <c r="U576" i="75"/>
  <c r="T576" i="75"/>
  <c r="U575" i="75"/>
  <c r="T575" i="75"/>
  <c r="U574" i="75"/>
  <c r="T574" i="75"/>
  <c r="U573" i="75"/>
  <c r="T573" i="75"/>
  <c r="U572" i="75"/>
  <c r="T572" i="75"/>
  <c r="U571" i="75"/>
  <c r="T571" i="75"/>
  <c r="U570" i="75"/>
  <c r="T570" i="75"/>
  <c r="U569" i="75"/>
  <c r="T569" i="75"/>
  <c r="U568" i="75"/>
  <c r="T568" i="75"/>
  <c r="U567" i="75"/>
  <c r="T567" i="75"/>
  <c r="U566" i="75"/>
  <c r="T566" i="75"/>
  <c r="U565" i="75"/>
  <c r="T565" i="75"/>
  <c r="U564" i="75"/>
  <c r="T564" i="75"/>
  <c r="U563" i="75"/>
  <c r="T563" i="75"/>
  <c r="U562" i="75"/>
  <c r="T562" i="75"/>
  <c r="U561" i="75"/>
  <c r="T561" i="75"/>
  <c r="U560" i="75"/>
  <c r="T560" i="75"/>
  <c r="U559" i="75"/>
  <c r="T559" i="75"/>
  <c r="U558" i="75"/>
  <c r="T558" i="75"/>
  <c r="U557" i="75"/>
  <c r="T557" i="75"/>
  <c r="U556" i="75"/>
  <c r="T556" i="75"/>
  <c r="U555" i="75"/>
  <c r="T555" i="75"/>
  <c r="U554" i="75"/>
  <c r="T554" i="75"/>
  <c r="U553" i="75"/>
  <c r="T553" i="75"/>
  <c r="U552" i="75"/>
  <c r="T552" i="75"/>
  <c r="U551" i="75"/>
  <c r="T551" i="75"/>
  <c r="U550" i="75"/>
  <c r="T550" i="75"/>
  <c r="U549" i="75"/>
  <c r="T549" i="75"/>
  <c r="U548" i="75"/>
  <c r="T548" i="75"/>
  <c r="U547" i="75"/>
  <c r="T547" i="75"/>
  <c r="U546" i="75"/>
  <c r="T546" i="75"/>
  <c r="U545" i="75"/>
  <c r="T545" i="75"/>
  <c r="U544" i="75"/>
  <c r="T544" i="75"/>
  <c r="U543" i="75"/>
  <c r="T543" i="75"/>
  <c r="U542" i="75"/>
  <c r="T542" i="75"/>
  <c r="U541" i="75"/>
  <c r="T541" i="75"/>
  <c r="U540" i="75"/>
  <c r="T540" i="75"/>
  <c r="U539" i="75"/>
  <c r="T539" i="75"/>
  <c r="U538" i="75"/>
  <c r="T538" i="75"/>
  <c r="U537" i="75"/>
  <c r="T537" i="75"/>
  <c r="U536" i="75"/>
  <c r="T536" i="75"/>
  <c r="U535" i="75"/>
  <c r="T535" i="75"/>
  <c r="U534" i="75"/>
  <c r="T534" i="75"/>
  <c r="U533" i="75"/>
  <c r="T533" i="75"/>
  <c r="U532" i="75"/>
  <c r="T532" i="75"/>
  <c r="U531" i="75"/>
  <c r="T531" i="75"/>
  <c r="U530" i="75"/>
  <c r="T530" i="75"/>
  <c r="U529" i="75"/>
  <c r="T529" i="75"/>
  <c r="U528" i="75"/>
  <c r="T528" i="75"/>
  <c r="U527" i="75"/>
  <c r="T527" i="75"/>
  <c r="U526" i="75"/>
  <c r="T526" i="75"/>
  <c r="U525" i="75"/>
  <c r="T525" i="75"/>
  <c r="U524" i="75"/>
  <c r="T524" i="75"/>
  <c r="U523" i="75"/>
  <c r="T523" i="75"/>
  <c r="U522" i="75"/>
  <c r="T522" i="75"/>
  <c r="U521" i="75"/>
  <c r="T521" i="75"/>
  <c r="U520" i="75"/>
  <c r="T520" i="75"/>
  <c r="U519" i="75"/>
  <c r="T519" i="75"/>
  <c r="U518" i="75"/>
  <c r="T518" i="75"/>
  <c r="U517" i="75"/>
  <c r="T517" i="75"/>
  <c r="U516" i="75"/>
  <c r="T516" i="75"/>
  <c r="U515" i="75"/>
  <c r="T515" i="75"/>
  <c r="U514" i="75"/>
  <c r="T514" i="75"/>
  <c r="U513" i="75"/>
  <c r="T513" i="75"/>
  <c r="U512" i="75"/>
  <c r="T512" i="75"/>
  <c r="U511" i="75"/>
  <c r="T511" i="75"/>
  <c r="U510" i="75"/>
  <c r="T510" i="75"/>
  <c r="U509" i="75"/>
  <c r="T509" i="75"/>
  <c r="U508" i="75"/>
  <c r="T508" i="75"/>
  <c r="U507" i="75"/>
  <c r="T507" i="75"/>
  <c r="U506" i="75"/>
  <c r="T506" i="75"/>
  <c r="U505" i="75"/>
  <c r="T505" i="75"/>
  <c r="U504" i="75"/>
  <c r="T504" i="75"/>
  <c r="U503" i="75"/>
  <c r="T503" i="75"/>
  <c r="U502" i="75"/>
  <c r="T502" i="75"/>
  <c r="U501" i="75"/>
  <c r="T501" i="75"/>
  <c r="U500" i="75"/>
  <c r="T500" i="75"/>
  <c r="U499" i="75"/>
  <c r="T499" i="75"/>
  <c r="U498" i="75"/>
  <c r="T498" i="75"/>
  <c r="U497" i="75"/>
  <c r="T497" i="75"/>
  <c r="U496" i="75"/>
  <c r="T496" i="75"/>
  <c r="U495" i="75"/>
  <c r="T495" i="75"/>
  <c r="U494" i="75"/>
  <c r="T494" i="75"/>
  <c r="U493" i="75"/>
  <c r="T493" i="75"/>
  <c r="U492" i="75"/>
  <c r="T492" i="75"/>
  <c r="U491" i="75"/>
  <c r="T491" i="75"/>
  <c r="U490" i="75"/>
  <c r="T490" i="75"/>
  <c r="U489" i="75"/>
  <c r="T489" i="75"/>
  <c r="U488" i="75"/>
  <c r="T488" i="75"/>
  <c r="U487" i="75"/>
  <c r="T487" i="75"/>
  <c r="U486" i="75"/>
  <c r="T486" i="75"/>
  <c r="U485" i="75"/>
  <c r="T485" i="75"/>
  <c r="U484" i="75"/>
  <c r="T484" i="75"/>
  <c r="U483" i="75"/>
  <c r="T483" i="75"/>
  <c r="U482" i="75"/>
  <c r="T482" i="75"/>
  <c r="U481" i="75"/>
  <c r="T481" i="75"/>
  <c r="U480" i="75"/>
  <c r="T480" i="75"/>
  <c r="U479" i="75"/>
  <c r="T479" i="75"/>
  <c r="U478" i="75"/>
  <c r="T478" i="75"/>
  <c r="U477" i="75"/>
  <c r="T477" i="75"/>
  <c r="U476" i="75"/>
  <c r="T476" i="75"/>
  <c r="U475" i="75"/>
  <c r="T475" i="75"/>
  <c r="U474" i="75"/>
  <c r="T474" i="75"/>
  <c r="U473" i="75"/>
  <c r="T473" i="75"/>
  <c r="U472" i="75"/>
  <c r="T472" i="75"/>
  <c r="U471" i="75"/>
  <c r="T471" i="75"/>
  <c r="U470" i="75"/>
  <c r="T470" i="75"/>
  <c r="U469" i="75"/>
  <c r="T469" i="75"/>
  <c r="U468" i="75"/>
  <c r="T468" i="75"/>
  <c r="U467" i="75"/>
  <c r="T467" i="75"/>
  <c r="U466" i="75"/>
  <c r="T466" i="75"/>
  <c r="U465" i="75"/>
  <c r="T465" i="75"/>
  <c r="U464" i="75"/>
  <c r="T464" i="75"/>
  <c r="U463" i="75"/>
  <c r="T463" i="75"/>
  <c r="U462" i="75"/>
  <c r="T462" i="75"/>
  <c r="U461" i="75"/>
  <c r="T461" i="75"/>
  <c r="U460" i="75"/>
  <c r="T460" i="75"/>
  <c r="U459" i="75"/>
  <c r="T459" i="75"/>
  <c r="U458" i="75"/>
  <c r="T458" i="75"/>
  <c r="U457" i="75"/>
  <c r="T457" i="75"/>
  <c r="U456" i="75"/>
  <c r="T456" i="75"/>
  <c r="U455" i="75"/>
  <c r="T455" i="75"/>
  <c r="U454" i="75"/>
  <c r="T454" i="75"/>
  <c r="U453" i="75"/>
  <c r="T453" i="75"/>
  <c r="U452" i="75"/>
  <c r="T452" i="75"/>
  <c r="U451" i="75"/>
  <c r="T451" i="75"/>
  <c r="U450" i="75"/>
  <c r="T450" i="75"/>
  <c r="U449" i="75"/>
  <c r="T449" i="75"/>
  <c r="U448" i="75"/>
  <c r="T448" i="75"/>
  <c r="U447" i="75"/>
  <c r="T447" i="75"/>
  <c r="U446" i="75"/>
  <c r="T446" i="75"/>
  <c r="U445" i="75"/>
  <c r="T445" i="75"/>
  <c r="U444" i="75"/>
  <c r="T444" i="75"/>
  <c r="U443" i="75"/>
  <c r="T443" i="75"/>
  <c r="U442" i="75"/>
  <c r="T442" i="75"/>
  <c r="U441" i="75"/>
  <c r="T441" i="75"/>
  <c r="U440" i="75"/>
  <c r="T440" i="75"/>
  <c r="U439" i="75"/>
  <c r="T439" i="75"/>
  <c r="U438" i="75"/>
  <c r="T438" i="75"/>
  <c r="U437" i="75"/>
  <c r="T437" i="75"/>
  <c r="U436" i="75"/>
  <c r="T436" i="75"/>
  <c r="U435" i="75"/>
  <c r="T435" i="75"/>
  <c r="U434" i="75"/>
  <c r="T434" i="75"/>
  <c r="U433" i="75"/>
  <c r="T433" i="75"/>
  <c r="U432" i="75"/>
  <c r="T432" i="75"/>
  <c r="U431" i="75"/>
  <c r="T431" i="75"/>
  <c r="U430" i="75"/>
  <c r="T430" i="75"/>
  <c r="U429" i="75"/>
  <c r="T429" i="75"/>
  <c r="U428" i="75"/>
  <c r="T428" i="75"/>
  <c r="U427" i="75"/>
  <c r="T427" i="75"/>
  <c r="U426" i="75"/>
  <c r="T426" i="75"/>
  <c r="U425" i="75"/>
  <c r="T425" i="75"/>
  <c r="U424" i="75"/>
  <c r="T424" i="75"/>
  <c r="U423" i="75"/>
  <c r="T423" i="75"/>
  <c r="U422" i="75"/>
  <c r="T422" i="75"/>
  <c r="U421" i="75"/>
  <c r="T421" i="75"/>
  <c r="U420" i="75"/>
  <c r="T420" i="75"/>
  <c r="U419" i="75"/>
  <c r="T419" i="75"/>
  <c r="U418" i="75"/>
  <c r="T418" i="75"/>
  <c r="U417" i="75"/>
  <c r="T417" i="75"/>
  <c r="U416" i="75"/>
  <c r="T416" i="75"/>
  <c r="U415" i="75"/>
  <c r="T415" i="75"/>
  <c r="U414" i="75"/>
  <c r="T414" i="75"/>
  <c r="U413" i="75"/>
  <c r="T413" i="75"/>
  <c r="U412" i="75"/>
  <c r="T412" i="75"/>
  <c r="U411" i="75"/>
  <c r="T411" i="75"/>
  <c r="U410" i="75"/>
  <c r="T410" i="75"/>
  <c r="U409" i="75"/>
  <c r="T409" i="75"/>
  <c r="U408" i="75"/>
  <c r="T408" i="75"/>
  <c r="U407" i="75"/>
  <c r="T407" i="75"/>
  <c r="U406" i="75"/>
  <c r="T406" i="75"/>
  <c r="U405" i="75"/>
  <c r="T405" i="75"/>
  <c r="U404" i="75"/>
  <c r="T404" i="75"/>
  <c r="U403" i="75"/>
  <c r="T403" i="75"/>
  <c r="U402" i="75"/>
  <c r="T402" i="75"/>
  <c r="U401" i="75"/>
  <c r="T401" i="75"/>
  <c r="U400" i="75"/>
  <c r="T400" i="75"/>
  <c r="U399" i="75"/>
  <c r="T399" i="75"/>
  <c r="U398" i="75"/>
  <c r="T398" i="75"/>
  <c r="U397" i="75"/>
  <c r="T397" i="75"/>
  <c r="U396" i="75"/>
  <c r="T396" i="75"/>
  <c r="U395" i="75"/>
  <c r="T395" i="75"/>
  <c r="U394" i="75"/>
  <c r="T394" i="75"/>
  <c r="U393" i="75"/>
  <c r="T393" i="75"/>
  <c r="U392" i="75"/>
  <c r="T392" i="75"/>
  <c r="U391" i="75"/>
  <c r="T391" i="75"/>
  <c r="U390" i="75"/>
  <c r="T390" i="75"/>
  <c r="U389" i="75"/>
  <c r="T389" i="75"/>
  <c r="U388" i="75"/>
  <c r="T388" i="75"/>
  <c r="U387" i="75"/>
  <c r="T387" i="75"/>
  <c r="U386" i="75"/>
  <c r="T386" i="75"/>
  <c r="U385" i="75"/>
  <c r="T385" i="75"/>
  <c r="U384" i="75"/>
  <c r="T384" i="75"/>
  <c r="U383" i="75"/>
  <c r="T383" i="75"/>
  <c r="U382" i="75"/>
  <c r="T382" i="75"/>
  <c r="U381" i="75"/>
  <c r="T381" i="75"/>
  <c r="U380" i="75"/>
  <c r="T380" i="75"/>
  <c r="U379" i="75"/>
  <c r="T379" i="75"/>
  <c r="U378" i="75"/>
  <c r="T378" i="75"/>
  <c r="U377" i="75"/>
  <c r="T377" i="75"/>
  <c r="U376" i="75"/>
  <c r="T376" i="75"/>
  <c r="U375" i="75"/>
  <c r="T375" i="75"/>
  <c r="U374" i="75"/>
  <c r="T374" i="75"/>
  <c r="U373" i="75"/>
  <c r="T373" i="75"/>
  <c r="U372" i="75"/>
  <c r="T372" i="75"/>
  <c r="U371" i="75"/>
  <c r="T371" i="75"/>
  <c r="U370" i="75"/>
  <c r="T370" i="75"/>
  <c r="U369" i="75"/>
  <c r="T369" i="75"/>
  <c r="U368" i="75"/>
  <c r="T368" i="75"/>
  <c r="U367" i="75"/>
  <c r="T367" i="75"/>
  <c r="U366" i="75"/>
  <c r="T366" i="75"/>
  <c r="U365" i="75"/>
  <c r="T365" i="75"/>
  <c r="U364" i="75"/>
  <c r="T364" i="75"/>
  <c r="U363" i="75"/>
  <c r="T363" i="75"/>
  <c r="U362" i="75"/>
  <c r="T362" i="75"/>
  <c r="U361" i="75"/>
  <c r="T361" i="75"/>
  <c r="U360" i="75"/>
  <c r="T360" i="75"/>
  <c r="U359" i="75"/>
  <c r="T359" i="75"/>
  <c r="U358" i="75"/>
  <c r="T358" i="75"/>
  <c r="U357" i="75"/>
  <c r="T357" i="75"/>
  <c r="U356" i="75"/>
  <c r="T356" i="75"/>
  <c r="U355" i="75"/>
  <c r="T355" i="75"/>
  <c r="U354" i="75"/>
  <c r="T354" i="75"/>
  <c r="U353" i="75"/>
  <c r="T353" i="75"/>
  <c r="U352" i="75"/>
  <c r="T352" i="75"/>
  <c r="U351" i="75"/>
  <c r="T351" i="75"/>
  <c r="U350" i="75"/>
  <c r="T350" i="75"/>
  <c r="U349" i="75"/>
  <c r="T349" i="75"/>
  <c r="U348" i="75"/>
  <c r="T348" i="75"/>
  <c r="U347" i="75"/>
  <c r="T347" i="75"/>
  <c r="U346" i="75"/>
  <c r="T346" i="75"/>
  <c r="U345" i="75"/>
  <c r="T345" i="75"/>
  <c r="U344" i="75"/>
  <c r="T344" i="75"/>
  <c r="U343" i="75"/>
  <c r="T343" i="75"/>
  <c r="U342" i="75"/>
  <c r="T342" i="75"/>
  <c r="U341" i="75"/>
  <c r="T341" i="75"/>
  <c r="U340" i="75"/>
  <c r="T340" i="75"/>
  <c r="U339" i="75"/>
  <c r="T339" i="75"/>
  <c r="U338" i="75"/>
  <c r="T338" i="75"/>
  <c r="U337" i="75"/>
  <c r="T337" i="75"/>
  <c r="U336" i="75"/>
  <c r="T336" i="75"/>
  <c r="U335" i="75"/>
  <c r="T335" i="75"/>
  <c r="U334" i="75"/>
  <c r="T334" i="75"/>
  <c r="U333" i="75"/>
  <c r="T333" i="75"/>
  <c r="U332" i="75"/>
  <c r="T332" i="75"/>
  <c r="U331" i="75"/>
  <c r="T331" i="75"/>
  <c r="U330" i="75"/>
  <c r="T330" i="75"/>
  <c r="U329" i="75"/>
  <c r="T329" i="75"/>
  <c r="U328" i="75"/>
  <c r="T328" i="75"/>
  <c r="U327" i="75"/>
  <c r="T327" i="75"/>
  <c r="U326" i="75"/>
  <c r="T326" i="75"/>
  <c r="U325" i="75"/>
  <c r="T325" i="75"/>
  <c r="U324" i="75"/>
  <c r="T324" i="75"/>
  <c r="U323" i="75"/>
  <c r="T323" i="75"/>
  <c r="U322" i="75"/>
  <c r="T322" i="75"/>
  <c r="U321" i="75"/>
  <c r="T321" i="75"/>
  <c r="U320" i="75"/>
  <c r="T320" i="75"/>
  <c r="U319" i="75"/>
  <c r="T319" i="75"/>
  <c r="U318" i="75"/>
  <c r="T318" i="75"/>
  <c r="U317" i="75"/>
  <c r="T317" i="75"/>
  <c r="U316" i="75"/>
  <c r="T316" i="75"/>
  <c r="U315" i="75"/>
  <c r="T315" i="75"/>
  <c r="U314" i="75"/>
  <c r="T314" i="75"/>
  <c r="U313" i="75"/>
  <c r="T313" i="75"/>
  <c r="U312" i="75"/>
  <c r="T312" i="75"/>
  <c r="U311" i="75"/>
  <c r="T311" i="75"/>
  <c r="U310" i="75"/>
  <c r="T310" i="75"/>
  <c r="U309" i="75"/>
  <c r="T309" i="75"/>
  <c r="U308" i="75"/>
  <c r="T308" i="75"/>
  <c r="U307" i="75"/>
  <c r="T307" i="75"/>
  <c r="U306" i="75"/>
  <c r="T306" i="75"/>
  <c r="U305" i="75"/>
  <c r="T305" i="75"/>
  <c r="U304" i="75"/>
  <c r="T304" i="75"/>
  <c r="U303" i="75"/>
  <c r="T303" i="75"/>
  <c r="U302" i="75"/>
  <c r="T302" i="75"/>
  <c r="U301" i="75"/>
  <c r="T301" i="75"/>
  <c r="U300" i="75"/>
  <c r="T300" i="75"/>
  <c r="U299" i="75"/>
  <c r="T299" i="75"/>
  <c r="U298" i="75"/>
  <c r="T298" i="75"/>
  <c r="U297" i="75"/>
  <c r="T297" i="75"/>
  <c r="U296" i="75"/>
  <c r="T296" i="75"/>
  <c r="U295" i="75"/>
  <c r="T295" i="75"/>
  <c r="U294" i="75"/>
  <c r="T294" i="75"/>
  <c r="U293" i="75"/>
  <c r="T293" i="75"/>
  <c r="U292" i="75"/>
  <c r="T292" i="75"/>
  <c r="U291" i="75"/>
  <c r="T291" i="75"/>
  <c r="U290" i="75"/>
  <c r="T290" i="75"/>
  <c r="U289" i="75"/>
  <c r="T289" i="75"/>
  <c r="U288" i="75"/>
  <c r="T288" i="75"/>
  <c r="U287" i="75"/>
  <c r="T287" i="75"/>
  <c r="U286" i="75"/>
  <c r="T286" i="75"/>
  <c r="U285" i="75"/>
  <c r="T285" i="75"/>
  <c r="U284" i="75"/>
  <c r="T284" i="75"/>
  <c r="U283" i="75"/>
  <c r="T283" i="75"/>
  <c r="U282" i="75"/>
  <c r="T282" i="75"/>
  <c r="U281" i="75"/>
  <c r="T281" i="75"/>
  <c r="U280" i="75"/>
  <c r="T280" i="75"/>
  <c r="U279" i="75"/>
  <c r="T279" i="75"/>
  <c r="U278" i="75"/>
  <c r="T278" i="75"/>
  <c r="U277" i="75"/>
  <c r="T277" i="75"/>
  <c r="U276" i="75"/>
  <c r="T276" i="75"/>
  <c r="U275" i="75"/>
  <c r="T275" i="75"/>
  <c r="U274" i="75"/>
  <c r="T274" i="75"/>
  <c r="U273" i="75"/>
  <c r="T273" i="75"/>
  <c r="U272" i="75"/>
  <c r="T272" i="75"/>
  <c r="U271" i="75"/>
  <c r="T271" i="75"/>
  <c r="U270" i="75"/>
  <c r="T270" i="75"/>
  <c r="U269" i="75"/>
  <c r="T269" i="75"/>
  <c r="U268" i="75"/>
  <c r="T268" i="75"/>
  <c r="U267" i="75"/>
  <c r="T267" i="75"/>
  <c r="U266" i="75"/>
  <c r="T266" i="75"/>
  <c r="U265" i="75"/>
  <c r="T265" i="75"/>
  <c r="U264" i="75"/>
  <c r="T264" i="75"/>
  <c r="U263" i="75"/>
  <c r="T263" i="75"/>
  <c r="U262" i="75"/>
  <c r="T262" i="75"/>
  <c r="U261" i="75"/>
  <c r="T261" i="75"/>
  <c r="U260" i="75"/>
  <c r="T260" i="75"/>
  <c r="U259" i="75"/>
  <c r="T259" i="75"/>
  <c r="U258" i="75"/>
  <c r="T258" i="75"/>
  <c r="U257" i="75"/>
  <c r="T257" i="75"/>
  <c r="U256" i="75"/>
  <c r="T256" i="75"/>
  <c r="U255" i="75"/>
  <c r="T255" i="75"/>
  <c r="U254" i="75"/>
  <c r="T254" i="75"/>
  <c r="U253" i="75"/>
  <c r="T253" i="75"/>
  <c r="U252" i="75"/>
  <c r="T252" i="75"/>
  <c r="U251" i="75"/>
  <c r="T251" i="75"/>
  <c r="U250" i="75"/>
  <c r="T250" i="75"/>
  <c r="U249" i="75"/>
  <c r="T249" i="75"/>
  <c r="U248" i="75"/>
  <c r="T248" i="75"/>
  <c r="U247" i="75"/>
  <c r="T247" i="75"/>
  <c r="U246" i="75"/>
  <c r="T246" i="75"/>
  <c r="U245" i="75"/>
  <c r="T245" i="75"/>
  <c r="U244" i="75"/>
  <c r="T244" i="75"/>
  <c r="U243" i="75"/>
  <c r="T243" i="75"/>
  <c r="U242" i="75"/>
  <c r="T242" i="75"/>
  <c r="U241" i="75"/>
  <c r="T241" i="75"/>
  <c r="U240" i="75"/>
  <c r="T240" i="75"/>
  <c r="U239" i="75"/>
  <c r="T239" i="75"/>
  <c r="U238" i="75"/>
  <c r="T238" i="75"/>
  <c r="U237" i="75"/>
  <c r="T237" i="75"/>
  <c r="U236" i="75"/>
  <c r="T236" i="75"/>
  <c r="U235" i="75"/>
  <c r="T235" i="75"/>
  <c r="U234" i="75"/>
  <c r="T234" i="75"/>
  <c r="U233" i="75"/>
  <c r="T233" i="75"/>
  <c r="U232" i="75"/>
  <c r="T232" i="75"/>
  <c r="U231" i="75"/>
  <c r="T231" i="75"/>
  <c r="U230" i="75"/>
  <c r="T230" i="75"/>
  <c r="U229" i="75"/>
  <c r="T229" i="75"/>
  <c r="U228" i="75"/>
  <c r="T228" i="75"/>
  <c r="U227" i="75"/>
  <c r="T227" i="75"/>
  <c r="U226" i="75"/>
  <c r="T226" i="75"/>
  <c r="U225" i="75"/>
  <c r="T225" i="75"/>
  <c r="U224" i="75"/>
  <c r="T224" i="75"/>
  <c r="U223" i="75"/>
  <c r="T223" i="75"/>
  <c r="U222" i="75"/>
  <c r="T222" i="75"/>
  <c r="U221" i="75"/>
  <c r="T221" i="75"/>
  <c r="U220" i="75"/>
  <c r="T220" i="75"/>
  <c r="U219" i="75"/>
  <c r="T219" i="75"/>
  <c r="U218" i="75"/>
  <c r="T218" i="75"/>
  <c r="U217" i="75"/>
  <c r="T217" i="75"/>
  <c r="U216" i="75"/>
  <c r="T216" i="75"/>
  <c r="U215" i="75"/>
  <c r="T215" i="75"/>
  <c r="U214" i="75"/>
  <c r="T214" i="75"/>
  <c r="U213" i="75"/>
  <c r="T213" i="75"/>
  <c r="U212" i="75"/>
  <c r="T212" i="75"/>
  <c r="U211" i="75"/>
  <c r="T211" i="75"/>
  <c r="U210" i="75"/>
  <c r="T210" i="75"/>
  <c r="U209" i="75"/>
  <c r="T209" i="75"/>
  <c r="U208" i="75"/>
  <c r="T208" i="75"/>
  <c r="U207" i="75"/>
  <c r="T207" i="75"/>
  <c r="U206" i="75"/>
  <c r="T206" i="75"/>
  <c r="U205" i="75"/>
  <c r="T205" i="75"/>
  <c r="U204" i="75"/>
  <c r="T204" i="75"/>
  <c r="U203" i="75"/>
  <c r="T203" i="75"/>
  <c r="U202" i="75"/>
  <c r="T202" i="75"/>
  <c r="U201" i="75"/>
  <c r="T201" i="75"/>
  <c r="U200" i="75"/>
  <c r="T200" i="75"/>
  <c r="U199" i="75"/>
  <c r="T199" i="75"/>
  <c r="U198" i="75"/>
  <c r="T198" i="75"/>
  <c r="U197" i="75"/>
  <c r="T197" i="75"/>
  <c r="U196" i="75"/>
  <c r="T196" i="75"/>
  <c r="U195" i="75"/>
  <c r="T195" i="75"/>
  <c r="U194" i="75"/>
  <c r="T194" i="75"/>
  <c r="U193" i="75"/>
  <c r="T193" i="75"/>
  <c r="U192" i="75"/>
  <c r="T192" i="75"/>
  <c r="U191" i="75"/>
  <c r="T191" i="75"/>
  <c r="U190" i="75"/>
  <c r="T190" i="75"/>
  <c r="U189" i="75"/>
  <c r="T189" i="75"/>
  <c r="U188" i="75"/>
  <c r="T188" i="75"/>
  <c r="U187" i="75"/>
  <c r="T187" i="75"/>
  <c r="U186" i="75"/>
  <c r="T186" i="75"/>
  <c r="U185" i="75"/>
  <c r="T185" i="75"/>
  <c r="U184" i="75"/>
  <c r="T184" i="75"/>
  <c r="U183" i="75"/>
  <c r="T183" i="75"/>
  <c r="U182" i="75"/>
  <c r="T182" i="75"/>
  <c r="U181" i="75"/>
  <c r="T181" i="75"/>
  <c r="U180" i="75"/>
  <c r="T180" i="75"/>
  <c r="U179" i="75"/>
  <c r="T179" i="75"/>
  <c r="U178" i="75"/>
  <c r="T178" i="75"/>
  <c r="U177" i="75"/>
  <c r="T177" i="75"/>
  <c r="U176" i="75"/>
  <c r="T176" i="75"/>
  <c r="U175" i="75"/>
  <c r="T175" i="75"/>
  <c r="U174" i="75"/>
  <c r="T174" i="75"/>
  <c r="U173" i="75"/>
  <c r="T173" i="75"/>
  <c r="U172" i="75"/>
  <c r="T172" i="75"/>
  <c r="U171" i="75"/>
  <c r="T171" i="75"/>
  <c r="U170" i="75"/>
  <c r="T170" i="75"/>
  <c r="U169" i="75"/>
  <c r="T169" i="75"/>
  <c r="U168" i="75"/>
  <c r="T168" i="75"/>
  <c r="U167" i="75"/>
  <c r="T167" i="75"/>
  <c r="U166" i="75"/>
  <c r="T166" i="75"/>
  <c r="U165" i="75"/>
  <c r="T165" i="75"/>
  <c r="U164" i="75"/>
  <c r="T164" i="75"/>
  <c r="U163" i="75"/>
  <c r="T163" i="75"/>
  <c r="U162" i="75"/>
  <c r="T162" i="75"/>
  <c r="U161" i="75"/>
  <c r="T161" i="75"/>
  <c r="U160" i="75"/>
  <c r="T160" i="75"/>
  <c r="U159" i="75"/>
  <c r="T159" i="75"/>
  <c r="U158" i="75"/>
  <c r="T158" i="75"/>
  <c r="U157" i="75"/>
  <c r="T157" i="75"/>
  <c r="U156" i="75"/>
  <c r="T156" i="75"/>
  <c r="U155" i="75"/>
  <c r="T155" i="75"/>
  <c r="U154" i="75"/>
  <c r="T154" i="75"/>
  <c r="U153" i="75"/>
  <c r="T153" i="75"/>
  <c r="U152" i="75"/>
  <c r="T152" i="75"/>
  <c r="U151" i="75"/>
  <c r="T151" i="75"/>
  <c r="U150" i="75"/>
  <c r="T150" i="75"/>
  <c r="U149" i="75"/>
  <c r="T149" i="75"/>
  <c r="U148" i="75"/>
  <c r="T148" i="75"/>
  <c r="U147" i="75"/>
  <c r="T147" i="75"/>
  <c r="U146" i="75"/>
  <c r="T146" i="75"/>
  <c r="U145" i="75"/>
  <c r="T145" i="75"/>
  <c r="U144" i="75"/>
  <c r="T144" i="75"/>
  <c r="U143" i="75"/>
  <c r="T143" i="75"/>
  <c r="U142" i="75"/>
  <c r="T142" i="75"/>
  <c r="U141" i="75"/>
  <c r="T141" i="75"/>
  <c r="U140" i="75"/>
  <c r="T140" i="75"/>
  <c r="U139" i="75"/>
  <c r="T139" i="75"/>
  <c r="U138" i="75"/>
  <c r="T138" i="75"/>
  <c r="U137" i="75"/>
  <c r="T137" i="75"/>
  <c r="U136" i="75"/>
  <c r="T136" i="75"/>
  <c r="U135" i="75"/>
  <c r="T135" i="75"/>
  <c r="U134" i="75"/>
  <c r="T134" i="75"/>
  <c r="U133" i="75"/>
  <c r="T133" i="75"/>
  <c r="U132" i="75"/>
  <c r="T132" i="75"/>
  <c r="U131" i="75"/>
  <c r="T131" i="75"/>
  <c r="U130" i="75"/>
  <c r="T130" i="75"/>
  <c r="U129" i="75"/>
  <c r="T129" i="75"/>
  <c r="U128" i="75"/>
  <c r="T128" i="75"/>
  <c r="U127" i="75"/>
  <c r="T127" i="75"/>
  <c r="U126" i="75"/>
  <c r="T126" i="75"/>
  <c r="U125" i="75"/>
  <c r="T125" i="75"/>
  <c r="U124" i="75"/>
  <c r="T124" i="75"/>
  <c r="U123" i="75"/>
  <c r="T123" i="75"/>
  <c r="U122" i="75"/>
  <c r="T122" i="75"/>
  <c r="U121" i="75"/>
  <c r="T121" i="75"/>
  <c r="U120" i="75"/>
  <c r="T120" i="75"/>
  <c r="U119" i="75"/>
  <c r="T119" i="75"/>
  <c r="U118" i="75"/>
  <c r="T118" i="75"/>
  <c r="U117" i="75"/>
  <c r="T117" i="75"/>
  <c r="U116" i="75"/>
  <c r="T116" i="75"/>
  <c r="U115" i="75"/>
  <c r="T115" i="75"/>
  <c r="U114" i="75"/>
  <c r="T114" i="75"/>
  <c r="U113" i="75"/>
  <c r="T113" i="75"/>
  <c r="U112" i="75"/>
  <c r="T112" i="75"/>
  <c r="U111" i="75"/>
  <c r="T111" i="75"/>
  <c r="U110" i="75"/>
  <c r="T110" i="75"/>
  <c r="U109" i="75"/>
  <c r="T109" i="75"/>
  <c r="U108" i="75"/>
  <c r="T108" i="75"/>
  <c r="U107" i="75"/>
  <c r="T107" i="75"/>
  <c r="U106" i="75"/>
  <c r="T106" i="75"/>
  <c r="U105" i="75"/>
  <c r="T105" i="75"/>
  <c r="U104" i="75"/>
  <c r="T104" i="75"/>
  <c r="U103" i="75"/>
  <c r="T103" i="75"/>
  <c r="U102" i="75"/>
  <c r="T102" i="75"/>
  <c r="U101" i="75"/>
  <c r="T101" i="75"/>
  <c r="U100" i="75"/>
  <c r="T100" i="75"/>
  <c r="U99" i="75"/>
  <c r="T99" i="75"/>
  <c r="U98" i="75"/>
  <c r="T98" i="75"/>
  <c r="U97" i="75"/>
  <c r="T97" i="75"/>
  <c r="U96" i="75"/>
  <c r="T96" i="75"/>
  <c r="U95" i="75"/>
  <c r="T95" i="75"/>
  <c r="U94" i="75"/>
  <c r="T94" i="75"/>
  <c r="U93" i="75"/>
  <c r="T93" i="75"/>
  <c r="U92" i="75"/>
  <c r="T92" i="75"/>
  <c r="U91" i="75"/>
  <c r="T91" i="75"/>
  <c r="U90" i="75"/>
  <c r="T90" i="75"/>
  <c r="U89" i="75"/>
  <c r="T89" i="75"/>
  <c r="U88" i="75"/>
  <c r="T88" i="75"/>
  <c r="U87" i="75"/>
  <c r="T87" i="75"/>
  <c r="U86" i="75"/>
  <c r="T86" i="75"/>
  <c r="U85" i="75"/>
  <c r="T85" i="75"/>
  <c r="U84" i="75"/>
  <c r="T84" i="75"/>
  <c r="U83" i="75"/>
  <c r="T83" i="75"/>
  <c r="U82" i="75"/>
  <c r="T82" i="75"/>
  <c r="U81" i="75"/>
  <c r="T81" i="75"/>
  <c r="U80" i="75"/>
  <c r="T80" i="75"/>
  <c r="U79" i="75"/>
  <c r="T79" i="75"/>
  <c r="U78" i="75"/>
  <c r="T78" i="75"/>
  <c r="U77" i="75"/>
  <c r="T77" i="75"/>
  <c r="U76" i="75"/>
  <c r="T76" i="75"/>
  <c r="U75" i="75"/>
  <c r="T75" i="75"/>
  <c r="U74" i="75"/>
  <c r="T74" i="75"/>
  <c r="U73" i="75"/>
  <c r="T73" i="75"/>
  <c r="U72" i="75"/>
  <c r="T72" i="75"/>
  <c r="U71" i="75"/>
  <c r="T71" i="75"/>
  <c r="U70" i="75"/>
  <c r="T70" i="75"/>
  <c r="U69" i="75"/>
  <c r="T69" i="75"/>
  <c r="U68" i="75"/>
  <c r="T68" i="75"/>
  <c r="U67" i="75"/>
  <c r="T67" i="75"/>
  <c r="U66" i="75"/>
  <c r="T66" i="75"/>
  <c r="U65" i="75"/>
  <c r="T65" i="75"/>
  <c r="U64" i="75"/>
  <c r="T64" i="75"/>
  <c r="U63" i="75"/>
  <c r="T63" i="75"/>
  <c r="U62" i="75"/>
  <c r="T62" i="75"/>
  <c r="U61" i="75"/>
  <c r="T61" i="75"/>
  <c r="U60" i="75"/>
  <c r="T60" i="75"/>
  <c r="U59" i="75"/>
  <c r="T59" i="75"/>
  <c r="U58" i="75"/>
  <c r="T58" i="75"/>
  <c r="U57" i="75"/>
  <c r="T57" i="75"/>
  <c r="U56" i="75"/>
  <c r="T56" i="75"/>
  <c r="U55" i="75"/>
  <c r="T55" i="75"/>
  <c r="U54" i="75"/>
  <c r="T54" i="75"/>
  <c r="U53" i="75"/>
  <c r="T53" i="75"/>
  <c r="U52" i="75"/>
  <c r="T52" i="75"/>
  <c r="U51" i="75"/>
  <c r="T51" i="75"/>
  <c r="U50" i="75"/>
  <c r="T50" i="75"/>
  <c r="U49" i="75"/>
  <c r="T49" i="75"/>
  <c r="U48" i="75"/>
  <c r="T48" i="75"/>
  <c r="U47" i="75"/>
  <c r="T47" i="75"/>
  <c r="U46" i="75"/>
  <c r="T46" i="75"/>
  <c r="U45" i="75"/>
  <c r="T45" i="75"/>
  <c r="U44" i="75"/>
  <c r="T44" i="75"/>
  <c r="U43" i="75"/>
  <c r="T43" i="75"/>
  <c r="U42" i="75"/>
  <c r="T42" i="75"/>
  <c r="U41" i="75"/>
  <c r="T41" i="75"/>
  <c r="U40" i="75"/>
  <c r="T40" i="75"/>
  <c r="U39" i="75"/>
  <c r="T39" i="75"/>
  <c r="U38" i="75"/>
  <c r="T38" i="75"/>
  <c r="U37" i="75"/>
  <c r="T37" i="75"/>
  <c r="U36" i="75"/>
  <c r="T36" i="75"/>
  <c r="U35" i="75"/>
  <c r="T35" i="75"/>
  <c r="U34" i="75"/>
  <c r="T34" i="75"/>
  <c r="U33" i="75"/>
  <c r="T33" i="75"/>
  <c r="U32" i="75"/>
  <c r="T32" i="75"/>
  <c r="U31" i="75"/>
  <c r="T31" i="75"/>
  <c r="U30" i="75"/>
  <c r="T30" i="75"/>
  <c r="U29" i="75"/>
  <c r="T29" i="75"/>
  <c r="U28" i="75"/>
  <c r="T28" i="75"/>
  <c r="U27" i="75"/>
  <c r="T27" i="75"/>
  <c r="U26" i="75"/>
  <c r="T26" i="75"/>
  <c r="U25" i="75"/>
  <c r="T25" i="75"/>
  <c r="U24" i="75"/>
  <c r="T24" i="75"/>
  <c r="U23" i="75"/>
  <c r="T23" i="75"/>
  <c r="U22" i="75"/>
  <c r="T22" i="75"/>
  <c r="U21" i="75"/>
  <c r="T21" i="75"/>
  <c r="U20" i="75"/>
  <c r="T20" i="75"/>
  <c r="U19" i="75"/>
  <c r="T19" i="75"/>
  <c r="U18" i="75"/>
  <c r="T18" i="75"/>
  <c r="U17" i="75"/>
  <c r="T17" i="75"/>
  <c r="U16" i="75"/>
  <c r="T16" i="75"/>
  <c r="U15" i="75"/>
  <c r="T15" i="75"/>
  <c r="U14" i="75"/>
  <c r="T14" i="75"/>
  <c r="U13" i="75"/>
  <c r="T13" i="75"/>
  <c r="U12" i="75"/>
  <c r="T12" i="75"/>
  <c r="U11" i="75"/>
  <c r="T11" i="75"/>
  <c r="U10" i="75"/>
  <c r="T10" i="75"/>
  <c r="U9" i="75"/>
  <c r="T9" i="75"/>
  <c r="U8" i="75"/>
  <c r="T8" i="75"/>
  <c r="U7" i="75"/>
  <c r="T7" i="75"/>
  <c r="U6" i="75"/>
  <c r="T6" i="75"/>
  <c r="U5" i="75"/>
  <c r="T5" i="75"/>
  <c r="U4" i="75"/>
  <c r="T4" i="75"/>
  <c r="U3" i="75"/>
  <c r="T3" i="75"/>
  <c r="U2" i="75"/>
  <c r="T2" i="75"/>
  <c r="S676" i="75"/>
  <c r="R676" i="75"/>
  <c r="S675" i="75"/>
  <c r="R675" i="75"/>
  <c r="S674" i="75"/>
  <c r="R674" i="75"/>
  <c r="S673" i="75"/>
  <c r="R673" i="75"/>
  <c r="S672" i="75"/>
  <c r="R672" i="75"/>
  <c r="S671" i="75"/>
  <c r="R671" i="75"/>
  <c r="S670" i="75"/>
  <c r="R670" i="75"/>
  <c r="S669" i="75"/>
  <c r="R669" i="75"/>
  <c r="S668" i="75"/>
  <c r="R668" i="75"/>
  <c r="S667" i="75"/>
  <c r="R667" i="75"/>
  <c r="S666" i="75"/>
  <c r="R666" i="75"/>
  <c r="S665" i="75"/>
  <c r="R665" i="75"/>
  <c r="S664" i="75"/>
  <c r="R664" i="75"/>
  <c r="S663" i="75"/>
  <c r="R663" i="75"/>
  <c r="S662" i="75"/>
  <c r="R662" i="75"/>
  <c r="S661" i="75"/>
  <c r="R661" i="75"/>
  <c r="S660" i="75"/>
  <c r="R660" i="75"/>
  <c r="S659" i="75"/>
  <c r="R659" i="75"/>
  <c r="S658" i="75"/>
  <c r="R658" i="75"/>
  <c r="S657" i="75"/>
  <c r="R657" i="75"/>
  <c r="S656" i="75"/>
  <c r="R656" i="75"/>
  <c r="S655" i="75"/>
  <c r="R655" i="75"/>
  <c r="S654" i="75"/>
  <c r="R654" i="75"/>
  <c r="S653" i="75"/>
  <c r="R653" i="75"/>
  <c r="S652" i="75"/>
  <c r="R652" i="75"/>
  <c r="S651" i="75"/>
  <c r="R651" i="75"/>
  <c r="S650" i="75"/>
  <c r="R650" i="75"/>
  <c r="S649" i="75"/>
  <c r="R649" i="75"/>
  <c r="S648" i="75"/>
  <c r="R648" i="75"/>
  <c r="S647" i="75"/>
  <c r="R647" i="75"/>
  <c r="S646" i="75"/>
  <c r="R646" i="75"/>
  <c r="S645" i="75"/>
  <c r="R645" i="75"/>
  <c r="S644" i="75"/>
  <c r="R644" i="75"/>
  <c r="S643" i="75"/>
  <c r="R643" i="75"/>
  <c r="S642" i="75"/>
  <c r="R642" i="75"/>
  <c r="S641" i="75"/>
  <c r="R641" i="75"/>
  <c r="S640" i="75"/>
  <c r="R640" i="75"/>
  <c r="S639" i="75"/>
  <c r="R639" i="75"/>
  <c r="S638" i="75"/>
  <c r="R638" i="75"/>
  <c r="S637" i="75"/>
  <c r="R637" i="75"/>
  <c r="S636" i="75"/>
  <c r="R636" i="75"/>
  <c r="S635" i="75"/>
  <c r="R635" i="75"/>
  <c r="S634" i="75"/>
  <c r="R634" i="75"/>
  <c r="S633" i="75"/>
  <c r="R633" i="75"/>
  <c r="S632" i="75"/>
  <c r="R632" i="75"/>
  <c r="S631" i="75"/>
  <c r="R631" i="75"/>
  <c r="S630" i="75"/>
  <c r="R630" i="75"/>
  <c r="S629" i="75"/>
  <c r="R629" i="75"/>
  <c r="S628" i="75"/>
  <c r="R628" i="75"/>
  <c r="S627" i="75"/>
  <c r="R627" i="75"/>
  <c r="S626" i="75"/>
  <c r="R626" i="75"/>
  <c r="S625" i="75"/>
  <c r="R625" i="75"/>
  <c r="S624" i="75"/>
  <c r="R624" i="75"/>
  <c r="S623" i="75"/>
  <c r="R623" i="75"/>
  <c r="S622" i="75"/>
  <c r="R622" i="75"/>
  <c r="S621" i="75"/>
  <c r="R621" i="75"/>
  <c r="S620" i="75"/>
  <c r="R620" i="75"/>
  <c r="S619" i="75"/>
  <c r="R619" i="75"/>
  <c r="S618" i="75"/>
  <c r="R618" i="75"/>
  <c r="S617" i="75"/>
  <c r="R617" i="75"/>
  <c r="S616" i="75"/>
  <c r="R616" i="75"/>
  <c r="S615" i="75"/>
  <c r="R615" i="75"/>
  <c r="S614" i="75"/>
  <c r="R614" i="75"/>
  <c r="S613" i="75"/>
  <c r="R613" i="75"/>
  <c r="S612" i="75"/>
  <c r="R612" i="75"/>
  <c r="S611" i="75"/>
  <c r="R611" i="75"/>
  <c r="S610" i="75"/>
  <c r="R610" i="75"/>
  <c r="S609" i="75"/>
  <c r="R609" i="75"/>
  <c r="S608" i="75"/>
  <c r="R608" i="75"/>
  <c r="S607" i="75"/>
  <c r="R607" i="75"/>
  <c r="S606" i="75"/>
  <c r="R606" i="75"/>
  <c r="S605" i="75"/>
  <c r="R605" i="75"/>
  <c r="S604" i="75"/>
  <c r="R604" i="75"/>
  <c r="S603" i="75"/>
  <c r="R603" i="75"/>
  <c r="S602" i="75"/>
  <c r="R602" i="75"/>
  <c r="S601" i="75"/>
  <c r="R601" i="75"/>
  <c r="S600" i="75"/>
  <c r="R600" i="75"/>
  <c r="S599" i="75"/>
  <c r="R599" i="75"/>
  <c r="S598" i="75"/>
  <c r="R598" i="75"/>
  <c r="S597" i="75"/>
  <c r="R597" i="75"/>
  <c r="S596" i="75"/>
  <c r="R596" i="75"/>
  <c r="S595" i="75"/>
  <c r="R595" i="75"/>
  <c r="S594" i="75"/>
  <c r="R594" i="75"/>
  <c r="S593" i="75"/>
  <c r="R593" i="75"/>
  <c r="S592" i="75"/>
  <c r="R592" i="75"/>
  <c r="S591" i="75"/>
  <c r="R591" i="75"/>
  <c r="S590" i="75"/>
  <c r="R590" i="75"/>
  <c r="S589" i="75"/>
  <c r="R589" i="75"/>
  <c r="S588" i="75"/>
  <c r="R588" i="75"/>
  <c r="S587" i="75"/>
  <c r="R587" i="75"/>
  <c r="S586" i="75"/>
  <c r="R586" i="75"/>
  <c r="S585" i="75"/>
  <c r="R585" i="75"/>
  <c r="S584" i="75"/>
  <c r="R584" i="75"/>
  <c r="S583" i="75"/>
  <c r="R583" i="75"/>
  <c r="S582" i="75"/>
  <c r="R582" i="75"/>
  <c r="S581" i="75"/>
  <c r="R581" i="75"/>
  <c r="S580" i="75"/>
  <c r="R580" i="75"/>
  <c r="S579" i="75"/>
  <c r="R579" i="75"/>
  <c r="S578" i="75"/>
  <c r="R578" i="75"/>
  <c r="S577" i="75"/>
  <c r="R577" i="75"/>
  <c r="S576" i="75"/>
  <c r="R576" i="75"/>
  <c r="S575" i="75"/>
  <c r="R575" i="75"/>
  <c r="S574" i="75"/>
  <c r="R574" i="75"/>
  <c r="S573" i="75"/>
  <c r="R573" i="75"/>
  <c r="S572" i="75"/>
  <c r="R572" i="75"/>
  <c r="S571" i="75"/>
  <c r="R571" i="75"/>
  <c r="S570" i="75"/>
  <c r="R570" i="75"/>
  <c r="S569" i="75"/>
  <c r="R569" i="75"/>
  <c r="S568" i="75"/>
  <c r="R568" i="75"/>
  <c r="S567" i="75"/>
  <c r="R567" i="75"/>
  <c r="S566" i="75"/>
  <c r="R566" i="75"/>
  <c r="S565" i="75"/>
  <c r="R565" i="75"/>
  <c r="S564" i="75"/>
  <c r="R564" i="75"/>
  <c r="S563" i="75"/>
  <c r="R563" i="75"/>
  <c r="S562" i="75"/>
  <c r="R562" i="75"/>
  <c r="S561" i="75"/>
  <c r="R561" i="75"/>
  <c r="S560" i="75"/>
  <c r="R560" i="75"/>
  <c r="S559" i="75"/>
  <c r="R559" i="75"/>
  <c r="S558" i="75"/>
  <c r="R558" i="75"/>
  <c r="S557" i="75"/>
  <c r="R557" i="75"/>
  <c r="S556" i="75"/>
  <c r="R556" i="75"/>
  <c r="S555" i="75"/>
  <c r="R555" i="75"/>
  <c r="S554" i="75"/>
  <c r="R554" i="75"/>
  <c r="S553" i="75"/>
  <c r="R553" i="75"/>
  <c r="S552" i="75"/>
  <c r="R552" i="75"/>
  <c r="S551" i="75"/>
  <c r="R551" i="75"/>
  <c r="S550" i="75"/>
  <c r="R550" i="75"/>
  <c r="S549" i="75"/>
  <c r="R549" i="75"/>
  <c r="S548" i="75"/>
  <c r="R548" i="75"/>
  <c r="S547" i="75"/>
  <c r="R547" i="75"/>
  <c r="S546" i="75"/>
  <c r="R546" i="75"/>
  <c r="S545" i="75"/>
  <c r="R545" i="75"/>
  <c r="S544" i="75"/>
  <c r="R544" i="75"/>
  <c r="S543" i="75"/>
  <c r="R543" i="75"/>
  <c r="S542" i="75"/>
  <c r="R542" i="75"/>
  <c r="S541" i="75"/>
  <c r="R541" i="75"/>
  <c r="S540" i="75"/>
  <c r="R540" i="75"/>
  <c r="S539" i="75"/>
  <c r="R539" i="75"/>
  <c r="S538" i="75"/>
  <c r="R538" i="75"/>
  <c r="S537" i="75"/>
  <c r="R537" i="75"/>
  <c r="S536" i="75"/>
  <c r="R536" i="75"/>
  <c r="S535" i="75"/>
  <c r="R535" i="75"/>
  <c r="S534" i="75"/>
  <c r="R534" i="75"/>
  <c r="S533" i="75"/>
  <c r="R533" i="75"/>
  <c r="S532" i="75"/>
  <c r="R532" i="75"/>
  <c r="S531" i="75"/>
  <c r="R531" i="75"/>
  <c r="S530" i="75"/>
  <c r="R530" i="75"/>
  <c r="S529" i="75"/>
  <c r="R529" i="75"/>
  <c r="S528" i="75"/>
  <c r="R528" i="75"/>
  <c r="S527" i="75"/>
  <c r="R527" i="75"/>
  <c r="S526" i="75"/>
  <c r="R526" i="75"/>
  <c r="S525" i="75"/>
  <c r="R525" i="75"/>
  <c r="S524" i="75"/>
  <c r="R524" i="75"/>
  <c r="S523" i="75"/>
  <c r="R523" i="75"/>
  <c r="S522" i="75"/>
  <c r="R522" i="75"/>
  <c r="S521" i="75"/>
  <c r="R521" i="75"/>
  <c r="S520" i="75"/>
  <c r="R520" i="75"/>
  <c r="S519" i="75"/>
  <c r="R519" i="75"/>
  <c r="S518" i="75"/>
  <c r="R518" i="75"/>
  <c r="S517" i="75"/>
  <c r="R517" i="75"/>
  <c r="S516" i="75"/>
  <c r="R516" i="75"/>
  <c r="S515" i="75"/>
  <c r="R515" i="75"/>
  <c r="S514" i="75"/>
  <c r="R514" i="75"/>
  <c r="S513" i="75"/>
  <c r="R513" i="75"/>
  <c r="S512" i="75"/>
  <c r="R512" i="75"/>
  <c r="S511" i="75"/>
  <c r="R511" i="75"/>
  <c r="S510" i="75"/>
  <c r="R510" i="75"/>
  <c r="S509" i="75"/>
  <c r="R509" i="75"/>
  <c r="S508" i="75"/>
  <c r="R508" i="75"/>
  <c r="S507" i="75"/>
  <c r="R507" i="75"/>
  <c r="S506" i="75"/>
  <c r="R506" i="75"/>
  <c r="S505" i="75"/>
  <c r="R505" i="75"/>
  <c r="S504" i="75"/>
  <c r="R504" i="75"/>
  <c r="S503" i="75"/>
  <c r="R503" i="75"/>
  <c r="S502" i="75"/>
  <c r="R502" i="75"/>
  <c r="S501" i="75"/>
  <c r="R501" i="75"/>
  <c r="S500" i="75"/>
  <c r="R500" i="75"/>
  <c r="S499" i="75"/>
  <c r="R499" i="75"/>
  <c r="S498" i="75"/>
  <c r="R498" i="75"/>
  <c r="S497" i="75"/>
  <c r="R497" i="75"/>
  <c r="S496" i="75"/>
  <c r="R496" i="75"/>
  <c r="S495" i="75"/>
  <c r="R495" i="75"/>
  <c r="S494" i="75"/>
  <c r="R494" i="75"/>
  <c r="S493" i="75"/>
  <c r="R493" i="75"/>
  <c r="S492" i="75"/>
  <c r="R492" i="75"/>
  <c r="S491" i="75"/>
  <c r="R491" i="75"/>
  <c r="S490" i="75"/>
  <c r="R490" i="75"/>
  <c r="S489" i="75"/>
  <c r="R489" i="75"/>
  <c r="S488" i="75"/>
  <c r="R488" i="75"/>
  <c r="S487" i="75"/>
  <c r="R487" i="75"/>
  <c r="S486" i="75"/>
  <c r="R486" i="75"/>
  <c r="S485" i="75"/>
  <c r="R485" i="75"/>
  <c r="S484" i="75"/>
  <c r="R484" i="75"/>
  <c r="S483" i="75"/>
  <c r="R483" i="75"/>
  <c r="S482" i="75"/>
  <c r="R482" i="75"/>
  <c r="S481" i="75"/>
  <c r="R481" i="75"/>
  <c r="S480" i="75"/>
  <c r="R480" i="75"/>
  <c r="S479" i="75"/>
  <c r="R479" i="75"/>
  <c r="S478" i="75"/>
  <c r="R478" i="75"/>
  <c r="S477" i="75"/>
  <c r="R477" i="75"/>
  <c r="S476" i="75"/>
  <c r="R476" i="75"/>
  <c r="S475" i="75"/>
  <c r="R475" i="75"/>
  <c r="S474" i="75"/>
  <c r="R474" i="75"/>
  <c r="S473" i="75"/>
  <c r="R473" i="75"/>
  <c r="S472" i="75"/>
  <c r="R472" i="75"/>
  <c r="S471" i="75"/>
  <c r="R471" i="75"/>
  <c r="S470" i="75"/>
  <c r="R470" i="75"/>
  <c r="S469" i="75"/>
  <c r="R469" i="75"/>
  <c r="S468" i="75"/>
  <c r="R468" i="75"/>
  <c r="S467" i="75"/>
  <c r="R467" i="75"/>
  <c r="S466" i="75"/>
  <c r="R466" i="75"/>
  <c r="S465" i="75"/>
  <c r="R465" i="75"/>
  <c r="S464" i="75"/>
  <c r="R464" i="75"/>
  <c r="S463" i="75"/>
  <c r="R463" i="75"/>
  <c r="S462" i="75"/>
  <c r="R462" i="75"/>
  <c r="S461" i="75"/>
  <c r="R461" i="75"/>
  <c r="S460" i="75"/>
  <c r="R460" i="75"/>
  <c r="S459" i="75"/>
  <c r="R459" i="75"/>
  <c r="S458" i="75"/>
  <c r="R458" i="75"/>
  <c r="S457" i="75"/>
  <c r="R457" i="75"/>
  <c r="S456" i="75"/>
  <c r="R456" i="75"/>
  <c r="S455" i="75"/>
  <c r="R455" i="75"/>
  <c r="S454" i="75"/>
  <c r="R454" i="75"/>
  <c r="S453" i="75"/>
  <c r="R453" i="75"/>
  <c r="S452" i="75"/>
  <c r="R452" i="75"/>
  <c r="S451" i="75"/>
  <c r="R451" i="75"/>
  <c r="S450" i="75"/>
  <c r="R450" i="75"/>
  <c r="S449" i="75"/>
  <c r="R449" i="75"/>
  <c r="S448" i="75"/>
  <c r="R448" i="75"/>
  <c r="S447" i="75"/>
  <c r="R447" i="75"/>
  <c r="S446" i="75"/>
  <c r="R446" i="75"/>
  <c r="S445" i="75"/>
  <c r="R445" i="75"/>
  <c r="S444" i="75"/>
  <c r="R444" i="75"/>
  <c r="S443" i="75"/>
  <c r="R443" i="75"/>
  <c r="S442" i="75"/>
  <c r="R442" i="75"/>
  <c r="S441" i="75"/>
  <c r="R441" i="75"/>
  <c r="S440" i="75"/>
  <c r="R440" i="75"/>
  <c r="S439" i="75"/>
  <c r="R439" i="75"/>
  <c r="S438" i="75"/>
  <c r="R438" i="75"/>
  <c r="S437" i="75"/>
  <c r="R437" i="75"/>
  <c r="S436" i="75"/>
  <c r="R436" i="75"/>
  <c r="S435" i="75"/>
  <c r="R435" i="75"/>
  <c r="S434" i="75"/>
  <c r="R434" i="75"/>
  <c r="S433" i="75"/>
  <c r="R433" i="75"/>
  <c r="S432" i="75"/>
  <c r="R432" i="75"/>
  <c r="S431" i="75"/>
  <c r="R431" i="75"/>
  <c r="S430" i="75"/>
  <c r="R430" i="75"/>
  <c r="S429" i="75"/>
  <c r="R429" i="75"/>
  <c r="S428" i="75"/>
  <c r="R428" i="75"/>
  <c r="S427" i="75"/>
  <c r="R427" i="75"/>
  <c r="S426" i="75"/>
  <c r="R426" i="75"/>
  <c r="S425" i="75"/>
  <c r="R425" i="75"/>
  <c r="S424" i="75"/>
  <c r="R424" i="75"/>
  <c r="S423" i="75"/>
  <c r="R423" i="75"/>
  <c r="S422" i="75"/>
  <c r="R422" i="75"/>
  <c r="S421" i="75"/>
  <c r="R421" i="75"/>
  <c r="S420" i="75"/>
  <c r="R420" i="75"/>
  <c r="S419" i="75"/>
  <c r="R419" i="75"/>
  <c r="S418" i="75"/>
  <c r="R418" i="75"/>
  <c r="S417" i="75"/>
  <c r="R417" i="75"/>
  <c r="S416" i="75"/>
  <c r="R416" i="75"/>
  <c r="S415" i="75"/>
  <c r="R415" i="75"/>
  <c r="S414" i="75"/>
  <c r="R414" i="75"/>
  <c r="S413" i="75"/>
  <c r="R413" i="75"/>
  <c r="S412" i="75"/>
  <c r="R412" i="75"/>
  <c r="S411" i="75"/>
  <c r="R411" i="75"/>
  <c r="S410" i="75"/>
  <c r="R410" i="75"/>
  <c r="S409" i="75"/>
  <c r="R409" i="75"/>
  <c r="S408" i="75"/>
  <c r="R408" i="75"/>
  <c r="S407" i="75"/>
  <c r="R407" i="75"/>
  <c r="S406" i="75"/>
  <c r="R406" i="75"/>
  <c r="S405" i="75"/>
  <c r="R405" i="75"/>
  <c r="S404" i="75"/>
  <c r="R404" i="75"/>
  <c r="S403" i="75"/>
  <c r="R403" i="75"/>
  <c r="S402" i="75"/>
  <c r="R402" i="75"/>
  <c r="S401" i="75"/>
  <c r="R401" i="75"/>
  <c r="S400" i="75"/>
  <c r="R400" i="75"/>
  <c r="S399" i="75"/>
  <c r="R399" i="75"/>
  <c r="S398" i="75"/>
  <c r="R398" i="75"/>
  <c r="S397" i="75"/>
  <c r="R397" i="75"/>
  <c r="S396" i="75"/>
  <c r="R396" i="75"/>
  <c r="S395" i="75"/>
  <c r="R395" i="75"/>
  <c r="S394" i="75"/>
  <c r="R394" i="75"/>
  <c r="S393" i="75"/>
  <c r="R393" i="75"/>
  <c r="S392" i="75"/>
  <c r="R392" i="75"/>
  <c r="S391" i="75"/>
  <c r="R391" i="75"/>
  <c r="S390" i="75"/>
  <c r="R390" i="75"/>
  <c r="S389" i="75"/>
  <c r="R389" i="75"/>
  <c r="S388" i="75"/>
  <c r="R388" i="75"/>
  <c r="S387" i="75"/>
  <c r="R387" i="75"/>
  <c r="S386" i="75"/>
  <c r="R386" i="75"/>
  <c r="S385" i="75"/>
  <c r="R385" i="75"/>
  <c r="S384" i="75"/>
  <c r="R384" i="75"/>
  <c r="S383" i="75"/>
  <c r="R383" i="75"/>
  <c r="S382" i="75"/>
  <c r="R382" i="75"/>
  <c r="S381" i="75"/>
  <c r="R381" i="75"/>
  <c r="S380" i="75"/>
  <c r="R380" i="75"/>
  <c r="S379" i="75"/>
  <c r="R379" i="75"/>
  <c r="S378" i="75"/>
  <c r="R378" i="75"/>
  <c r="S377" i="75"/>
  <c r="R377" i="75"/>
  <c r="S376" i="75"/>
  <c r="R376" i="75"/>
  <c r="S375" i="75"/>
  <c r="R375" i="75"/>
  <c r="S374" i="75"/>
  <c r="R374" i="75"/>
  <c r="S373" i="75"/>
  <c r="R373" i="75"/>
  <c r="S372" i="75"/>
  <c r="R372" i="75"/>
  <c r="S371" i="75"/>
  <c r="R371" i="75"/>
  <c r="S370" i="75"/>
  <c r="R370" i="75"/>
  <c r="S369" i="75"/>
  <c r="R369" i="75"/>
  <c r="S368" i="75"/>
  <c r="R368" i="75"/>
  <c r="S367" i="75"/>
  <c r="R367" i="75"/>
  <c r="S366" i="75"/>
  <c r="R366" i="75"/>
  <c r="S365" i="75"/>
  <c r="R365" i="75"/>
  <c r="S364" i="75"/>
  <c r="R364" i="75"/>
  <c r="S363" i="75"/>
  <c r="R363" i="75"/>
  <c r="S362" i="75"/>
  <c r="R362" i="75"/>
  <c r="S361" i="75"/>
  <c r="R361" i="75"/>
  <c r="S360" i="75"/>
  <c r="R360" i="75"/>
  <c r="S359" i="75"/>
  <c r="R359" i="75"/>
  <c r="S358" i="75"/>
  <c r="R358" i="75"/>
  <c r="S357" i="75"/>
  <c r="R357" i="75"/>
  <c r="S356" i="75"/>
  <c r="R356" i="75"/>
  <c r="S355" i="75"/>
  <c r="R355" i="75"/>
  <c r="S354" i="75"/>
  <c r="R354" i="75"/>
  <c r="S353" i="75"/>
  <c r="R353" i="75"/>
  <c r="S352" i="75"/>
  <c r="R352" i="75"/>
  <c r="S351" i="75"/>
  <c r="R351" i="75"/>
  <c r="S350" i="75"/>
  <c r="R350" i="75"/>
  <c r="S349" i="75"/>
  <c r="R349" i="75"/>
  <c r="S348" i="75"/>
  <c r="R348" i="75"/>
  <c r="S347" i="75"/>
  <c r="R347" i="75"/>
  <c r="S346" i="75"/>
  <c r="R346" i="75"/>
  <c r="S345" i="75"/>
  <c r="R345" i="75"/>
  <c r="S344" i="75"/>
  <c r="R344" i="75"/>
  <c r="S343" i="75"/>
  <c r="R343" i="75"/>
  <c r="S342" i="75"/>
  <c r="R342" i="75"/>
  <c r="S341" i="75"/>
  <c r="R341" i="75"/>
  <c r="S340" i="75"/>
  <c r="R340" i="75"/>
  <c r="S339" i="75"/>
  <c r="R339" i="75"/>
  <c r="S338" i="75"/>
  <c r="R338" i="75"/>
  <c r="S337" i="75"/>
  <c r="R337" i="75"/>
  <c r="S336" i="75"/>
  <c r="R336" i="75"/>
  <c r="S335" i="75"/>
  <c r="R335" i="75"/>
  <c r="S334" i="75"/>
  <c r="R334" i="75"/>
  <c r="S333" i="75"/>
  <c r="R333" i="75"/>
  <c r="S332" i="75"/>
  <c r="R332" i="75"/>
  <c r="S331" i="75"/>
  <c r="R331" i="75"/>
  <c r="S330" i="75"/>
  <c r="R330" i="75"/>
  <c r="S329" i="75"/>
  <c r="R329" i="75"/>
  <c r="S328" i="75"/>
  <c r="R328" i="75"/>
  <c r="S327" i="75"/>
  <c r="R327" i="75"/>
  <c r="S326" i="75"/>
  <c r="R326" i="75"/>
  <c r="S325" i="75"/>
  <c r="R325" i="75"/>
  <c r="S324" i="75"/>
  <c r="R324" i="75"/>
  <c r="S323" i="75"/>
  <c r="R323" i="75"/>
  <c r="S322" i="75"/>
  <c r="R322" i="75"/>
  <c r="S321" i="75"/>
  <c r="R321" i="75"/>
  <c r="S320" i="75"/>
  <c r="R320" i="75"/>
  <c r="S319" i="75"/>
  <c r="R319" i="75"/>
  <c r="S318" i="75"/>
  <c r="R318" i="75"/>
  <c r="S317" i="75"/>
  <c r="R317" i="75"/>
  <c r="S316" i="75"/>
  <c r="R316" i="75"/>
  <c r="S315" i="75"/>
  <c r="R315" i="75"/>
  <c r="S314" i="75"/>
  <c r="R314" i="75"/>
  <c r="S313" i="75"/>
  <c r="R313" i="75"/>
  <c r="S312" i="75"/>
  <c r="R312" i="75"/>
  <c r="S311" i="75"/>
  <c r="R311" i="75"/>
  <c r="S310" i="75"/>
  <c r="R310" i="75"/>
  <c r="S309" i="75"/>
  <c r="R309" i="75"/>
  <c r="S308" i="75"/>
  <c r="R308" i="75"/>
  <c r="S307" i="75"/>
  <c r="R307" i="75"/>
  <c r="S306" i="75"/>
  <c r="R306" i="75"/>
  <c r="S305" i="75"/>
  <c r="R305" i="75"/>
  <c r="S304" i="75"/>
  <c r="R304" i="75"/>
  <c r="S303" i="75"/>
  <c r="R303" i="75"/>
  <c r="S302" i="75"/>
  <c r="R302" i="75"/>
  <c r="S301" i="75"/>
  <c r="R301" i="75"/>
  <c r="S300" i="75"/>
  <c r="R300" i="75"/>
  <c r="S299" i="75"/>
  <c r="R299" i="75"/>
  <c r="S298" i="75"/>
  <c r="R298" i="75"/>
  <c r="S297" i="75"/>
  <c r="R297" i="75"/>
  <c r="S296" i="75"/>
  <c r="R296" i="75"/>
  <c r="S295" i="75"/>
  <c r="R295" i="75"/>
  <c r="S294" i="75"/>
  <c r="R294" i="75"/>
  <c r="S293" i="75"/>
  <c r="R293" i="75"/>
  <c r="S292" i="75"/>
  <c r="R292" i="75"/>
  <c r="S291" i="75"/>
  <c r="R291" i="75"/>
  <c r="S290" i="75"/>
  <c r="R290" i="75"/>
  <c r="S289" i="75"/>
  <c r="R289" i="75"/>
  <c r="S288" i="75"/>
  <c r="R288" i="75"/>
  <c r="S287" i="75"/>
  <c r="R287" i="75"/>
  <c r="S286" i="75"/>
  <c r="R286" i="75"/>
  <c r="S285" i="75"/>
  <c r="R285" i="75"/>
  <c r="S284" i="75"/>
  <c r="R284" i="75"/>
  <c r="S283" i="75"/>
  <c r="R283" i="75"/>
  <c r="S282" i="75"/>
  <c r="R282" i="75"/>
  <c r="S281" i="75"/>
  <c r="R281" i="75"/>
  <c r="S280" i="75"/>
  <c r="R280" i="75"/>
  <c r="S279" i="75"/>
  <c r="R279" i="75"/>
  <c r="S278" i="75"/>
  <c r="R278" i="75"/>
  <c r="S277" i="75"/>
  <c r="R277" i="75"/>
  <c r="S276" i="75"/>
  <c r="R276" i="75"/>
  <c r="S275" i="75"/>
  <c r="R275" i="75"/>
  <c r="S274" i="75"/>
  <c r="R274" i="75"/>
  <c r="S273" i="75"/>
  <c r="R273" i="75"/>
  <c r="S272" i="75"/>
  <c r="R272" i="75"/>
  <c r="S271" i="75"/>
  <c r="R271" i="75"/>
  <c r="S270" i="75"/>
  <c r="R270" i="75"/>
  <c r="S269" i="75"/>
  <c r="R269" i="75"/>
  <c r="S268" i="75"/>
  <c r="R268" i="75"/>
  <c r="S267" i="75"/>
  <c r="R267" i="75"/>
  <c r="S266" i="75"/>
  <c r="R266" i="75"/>
  <c r="S265" i="75"/>
  <c r="R265" i="75"/>
  <c r="S264" i="75"/>
  <c r="R264" i="75"/>
  <c r="S263" i="75"/>
  <c r="R263" i="75"/>
  <c r="S262" i="75"/>
  <c r="R262" i="75"/>
  <c r="S261" i="75"/>
  <c r="R261" i="75"/>
  <c r="S260" i="75"/>
  <c r="R260" i="75"/>
  <c r="S259" i="75"/>
  <c r="R259" i="75"/>
  <c r="S258" i="75"/>
  <c r="R258" i="75"/>
  <c r="S257" i="75"/>
  <c r="R257" i="75"/>
  <c r="S256" i="75"/>
  <c r="R256" i="75"/>
  <c r="S255" i="75"/>
  <c r="R255" i="75"/>
  <c r="S254" i="75"/>
  <c r="R254" i="75"/>
  <c r="S253" i="75"/>
  <c r="R253" i="75"/>
  <c r="S252" i="75"/>
  <c r="R252" i="75"/>
  <c r="S251" i="75"/>
  <c r="R251" i="75"/>
  <c r="S250" i="75"/>
  <c r="R250" i="75"/>
  <c r="S249" i="75"/>
  <c r="R249" i="75"/>
  <c r="S248" i="75"/>
  <c r="R248" i="75"/>
  <c r="S247" i="75"/>
  <c r="R247" i="75"/>
  <c r="S246" i="75"/>
  <c r="R246" i="75"/>
  <c r="S245" i="75"/>
  <c r="R245" i="75"/>
  <c r="S244" i="75"/>
  <c r="R244" i="75"/>
  <c r="S243" i="75"/>
  <c r="R243" i="75"/>
  <c r="S242" i="75"/>
  <c r="R242" i="75"/>
  <c r="S241" i="75"/>
  <c r="R241" i="75"/>
  <c r="S240" i="75"/>
  <c r="R240" i="75"/>
  <c r="S239" i="75"/>
  <c r="R239" i="75"/>
  <c r="S238" i="75"/>
  <c r="R238" i="75"/>
  <c r="S237" i="75"/>
  <c r="R237" i="75"/>
  <c r="S236" i="75"/>
  <c r="R236" i="75"/>
  <c r="S235" i="75"/>
  <c r="R235" i="75"/>
  <c r="S234" i="75"/>
  <c r="R234" i="75"/>
  <c r="S233" i="75"/>
  <c r="R233" i="75"/>
  <c r="S232" i="75"/>
  <c r="R232" i="75"/>
  <c r="S231" i="75"/>
  <c r="R231" i="75"/>
  <c r="S230" i="75"/>
  <c r="R230" i="75"/>
  <c r="S229" i="75"/>
  <c r="R229" i="75"/>
  <c r="S228" i="75"/>
  <c r="R228" i="75"/>
  <c r="S227" i="75"/>
  <c r="R227" i="75"/>
  <c r="S226" i="75"/>
  <c r="R226" i="75"/>
  <c r="S225" i="75"/>
  <c r="R225" i="75"/>
  <c r="S224" i="75"/>
  <c r="R224" i="75"/>
  <c r="S223" i="75"/>
  <c r="R223" i="75"/>
  <c r="S222" i="75"/>
  <c r="R222" i="75"/>
  <c r="S221" i="75"/>
  <c r="R221" i="75"/>
  <c r="S220" i="75"/>
  <c r="R220" i="75"/>
  <c r="S219" i="75"/>
  <c r="R219" i="75"/>
  <c r="S218" i="75"/>
  <c r="R218" i="75"/>
  <c r="S217" i="75"/>
  <c r="R217" i="75"/>
  <c r="S216" i="75"/>
  <c r="R216" i="75"/>
  <c r="S215" i="75"/>
  <c r="R215" i="75"/>
  <c r="S214" i="75"/>
  <c r="R214" i="75"/>
  <c r="S213" i="75"/>
  <c r="R213" i="75"/>
  <c r="S212" i="75"/>
  <c r="R212" i="75"/>
  <c r="S211" i="75"/>
  <c r="R211" i="75"/>
  <c r="S210" i="75"/>
  <c r="R210" i="75"/>
  <c r="S209" i="75"/>
  <c r="R209" i="75"/>
  <c r="S208" i="75"/>
  <c r="R208" i="75"/>
  <c r="S207" i="75"/>
  <c r="R207" i="75"/>
  <c r="S206" i="75"/>
  <c r="R206" i="75"/>
  <c r="S205" i="75"/>
  <c r="R205" i="75"/>
  <c r="S204" i="75"/>
  <c r="R204" i="75"/>
  <c r="S203" i="75"/>
  <c r="R203" i="75"/>
  <c r="S202" i="75"/>
  <c r="R202" i="75"/>
  <c r="S201" i="75"/>
  <c r="R201" i="75"/>
  <c r="S200" i="75"/>
  <c r="R200" i="75"/>
  <c r="S199" i="75"/>
  <c r="R199" i="75"/>
  <c r="S198" i="75"/>
  <c r="R198" i="75"/>
  <c r="S197" i="75"/>
  <c r="R197" i="75"/>
  <c r="S196" i="75"/>
  <c r="R196" i="75"/>
  <c r="S195" i="75"/>
  <c r="R195" i="75"/>
  <c r="S194" i="75"/>
  <c r="R194" i="75"/>
  <c r="S193" i="75"/>
  <c r="R193" i="75"/>
  <c r="S192" i="75"/>
  <c r="R192" i="75"/>
  <c r="S191" i="75"/>
  <c r="R191" i="75"/>
  <c r="S190" i="75"/>
  <c r="R190" i="75"/>
  <c r="S189" i="75"/>
  <c r="R189" i="75"/>
  <c r="S188" i="75"/>
  <c r="R188" i="75"/>
  <c r="S187" i="75"/>
  <c r="R187" i="75"/>
  <c r="S186" i="75"/>
  <c r="R186" i="75"/>
  <c r="S185" i="75"/>
  <c r="R185" i="75"/>
  <c r="S184" i="75"/>
  <c r="R184" i="75"/>
  <c r="S183" i="75"/>
  <c r="R183" i="75"/>
  <c r="S182" i="75"/>
  <c r="R182" i="75"/>
  <c r="S181" i="75"/>
  <c r="R181" i="75"/>
  <c r="S180" i="75"/>
  <c r="R180" i="75"/>
  <c r="S179" i="75"/>
  <c r="R179" i="75"/>
  <c r="S178" i="75"/>
  <c r="R178" i="75"/>
  <c r="S177" i="75"/>
  <c r="R177" i="75"/>
  <c r="S176" i="75"/>
  <c r="R176" i="75"/>
  <c r="S175" i="75"/>
  <c r="R175" i="75"/>
  <c r="S174" i="75"/>
  <c r="R174" i="75"/>
  <c r="S173" i="75"/>
  <c r="R173" i="75"/>
  <c r="S172" i="75"/>
  <c r="R172" i="75"/>
  <c r="S171" i="75"/>
  <c r="R171" i="75"/>
  <c r="S170" i="75"/>
  <c r="R170" i="75"/>
  <c r="S169" i="75"/>
  <c r="R169" i="75"/>
  <c r="S168" i="75"/>
  <c r="R168" i="75"/>
  <c r="S167" i="75"/>
  <c r="R167" i="75"/>
  <c r="S166" i="75"/>
  <c r="R166" i="75"/>
  <c r="S165" i="75"/>
  <c r="R165" i="75"/>
  <c r="S164" i="75"/>
  <c r="R164" i="75"/>
  <c r="S163" i="75"/>
  <c r="R163" i="75"/>
  <c r="S162" i="75"/>
  <c r="R162" i="75"/>
  <c r="S161" i="75"/>
  <c r="R161" i="75"/>
  <c r="S160" i="75"/>
  <c r="R160" i="75"/>
  <c r="S159" i="75"/>
  <c r="R159" i="75"/>
  <c r="S158" i="75"/>
  <c r="R158" i="75"/>
  <c r="S157" i="75"/>
  <c r="R157" i="75"/>
  <c r="S156" i="75"/>
  <c r="R156" i="75"/>
  <c r="S155" i="75"/>
  <c r="R155" i="75"/>
  <c r="S154" i="75"/>
  <c r="R154" i="75"/>
  <c r="S153" i="75"/>
  <c r="R153" i="75"/>
  <c r="S152" i="75"/>
  <c r="R152" i="75"/>
  <c r="S151" i="75"/>
  <c r="R151" i="75"/>
  <c r="S150" i="75"/>
  <c r="R150" i="75"/>
  <c r="S149" i="75"/>
  <c r="R149" i="75"/>
  <c r="S148" i="75"/>
  <c r="R148" i="75"/>
  <c r="S147" i="75"/>
  <c r="R147" i="75"/>
  <c r="S146" i="75"/>
  <c r="R146" i="75"/>
  <c r="S145" i="75"/>
  <c r="R145" i="75"/>
  <c r="S144" i="75"/>
  <c r="R144" i="75"/>
  <c r="S143" i="75"/>
  <c r="R143" i="75"/>
  <c r="S142" i="75"/>
  <c r="R142" i="75"/>
  <c r="S141" i="75"/>
  <c r="R141" i="75"/>
  <c r="S140" i="75"/>
  <c r="R140" i="75"/>
  <c r="S139" i="75"/>
  <c r="R139" i="75"/>
  <c r="S138" i="75"/>
  <c r="R138" i="75"/>
  <c r="S137" i="75"/>
  <c r="R137" i="75"/>
  <c r="S136" i="75"/>
  <c r="R136" i="75"/>
  <c r="S135" i="75"/>
  <c r="R135" i="75"/>
  <c r="S134" i="75"/>
  <c r="R134" i="75"/>
  <c r="S133" i="75"/>
  <c r="R133" i="75"/>
  <c r="S132" i="75"/>
  <c r="R132" i="75"/>
  <c r="S131" i="75"/>
  <c r="R131" i="75"/>
  <c r="S130" i="75"/>
  <c r="R130" i="75"/>
  <c r="S129" i="75"/>
  <c r="R129" i="75"/>
  <c r="S128" i="75"/>
  <c r="R128" i="75"/>
  <c r="S127" i="75"/>
  <c r="R127" i="75"/>
  <c r="S126" i="75"/>
  <c r="R126" i="75"/>
  <c r="S125" i="75"/>
  <c r="R125" i="75"/>
  <c r="S124" i="75"/>
  <c r="R124" i="75"/>
  <c r="S123" i="75"/>
  <c r="R123" i="75"/>
  <c r="S122" i="75"/>
  <c r="R122" i="75"/>
  <c r="S121" i="75"/>
  <c r="R121" i="75"/>
  <c r="S120" i="75"/>
  <c r="R120" i="75"/>
  <c r="S119" i="75"/>
  <c r="R119" i="75"/>
  <c r="S118" i="75"/>
  <c r="R118" i="75"/>
  <c r="S117" i="75"/>
  <c r="R117" i="75"/>
  <c r="S116" i="75"/>
  <c r="R116" i="75"/>
  <c r="S115" i="75"/>
  <c r="R115" i="75"/>
  <c r="S114" i="75"/>
  <c r="R114" i="75"/>
  <c r="S113" i="75"/>
  <c r="R113" i="75"/>
  <c r="S112" i="75"/>
  <c r="R112" i="75"/>
  <c r="S111" i="75"/>
  <c r="R111" i="75"/>
  <c r="S110" i="75"/>
  <c r="R110" i="75"/>
  <c r="S109" i="75"/>
  <c r="R109" i="75"/>
  <c r="S108" i="75"/>
  <c r="R108" i="75"/>
  <c r="S107" i="75"/>
  <c r="R107" i="75"/>
  <c r="S106" i="75"/>
  <c r="R106" i="75"/>
  <c r="S105" i="75"/>
  <c r="R105" i="75"/>
  <c r="S104" i="75"/>
  <c r="R104" i="75"/>
  <c r="S103" i="75"/>
  <c r="R103" i="75"/>
  <c r="S102" i="75"/>
  <c r="R102" i="75"/>
  <c r="S101" i="75"/>
  <c r="R101" i="75"/>
  <c r="S100" i="75"/>
  <c r="R100" i="75"/>
  <c r="S99" i="75"/>
  <c r="R99" i="75"/>
  <c r="S98" i="75"/>
  <c r="R98" i="75"/>
  <c r="S97" i="75"/>
  <c r="R97" i="75"/>
  <c r="S96" i="75"/>
  <c r="R96" i="75"/>
  <c r="S95" i="75"/>
  <c r="R95" i="75"/>
  <c r="S94" i="75"/>
  <c r="R94" i="75"/>
  <c r="S93" i="75"/>
  <c r="R93" i="75"/>
  <c r="S92" i="75"/>
  <c r="R92" i="75"/>
  <c r="S91" i="75"/>
  <c r="R91" i="75"/>
  <c r="S90" i="75"/>
  <c r="R90" i="75"/>
  <c r="S89" i="75"/>
  <c r="R89" i="75"/>
  <c r="S88" i="75"/>
  <c r="R88" i="75"/>
  <c r="S87" i="75"/>
  <c r="R87" i="75"/>
  <c r="S86" i="75"/>
  <c r="R86" i="75"/>
  <c r="S85" i="75"/>
  <c r="R85" i="75"/>
  <c r="S84" i="75"/>
  <c r="R84" i="75"/>
  <c r="S83" i="75"/>
  <c r="R83" i="75"/>
  <c r="S82" i="75"/>
  <c r="R82" i="75"/>
  <c r="S81" i="75"/>
  <c r="R81" i="75"/>
  <c r="S80" i="75"/>
  <c r="R80" i="75"/>
  <c r="S79" i="75"/>
  <c r="R79" i="75"/>
  <c r="S78" i="75"/>
  <c r="R78" i="75"/>
  <c r="S77" i="75"/>
  <c r="R77" i="75"/>
  <c r="S76" i="75"/>
  <c r="R76" i="75"/>
  <c r="S75" i="75"/>
  <c r="R75" i="75"/>
  <c r="S74" i="75"/>
  <c r="R74" i="75"/>
  <c r="S73" i="75"/>
  <c r="R73" i="75"/>
  <c r="S72" i="75"/>
  <c r="R72" i="75"/>
  <c r="S71" i="75"/>
  <c r="R71" i="75"/>
  <c r="S70" i="75"/>
  <c r="R70" i="75"/>
  <c r="S69" i="75"/>
  <c r="R69" i="75"/>
  <c r="S68" i="75"/>
  <c r="R68" i="75"/>
  <c r="S67" i="75"/>
  <c r="R67" i="75"/>
  <c r="S66" i="75"/>
  <c r="R66" i="75"/>
  <c r="S65" i="75"/>
  <c r="R65" i="75"/>
  <c r="S64" i="75"/>
  <c r="R64" i="75"/>
  <c r="S63" i="75"/>
  <c r="R63" i="75"/>
  <c r="S62" i="75"/>
  <c r="R62" i="75"/>
  <c r="S61" i="75"/>
  <c r="R61" i="75"/>
  <c r="S60" i="75"/>
  <c r="R60" i="75"/>
  <c r="S59" i="75"/>
  <c r="R59" i="75"/>
  <c r="S58" i="75"/>
  <c r="R58" i="75"/>
  <c r="S57" i="75"/>
  <c r="R57" i="75"/>
  <c r="S56" i="75"/>
  <c r="R56" i="75"/>
  <c r="S55" i="75"/>
  <c r="R55" i="75"/>
  <c r="S54" i="75"/>
  <c r="R54" i="75"/>
  <c r="S53" i="75"/>
  <c r="R53" i="75"/>
  <c r="S52" i="75"/>
  <c r="R52" i="75"/>
  <c r="S51" i="75"/>
  <c r="R51" i="75"/>
  <c r="S50" i="75"/>
  <c r="R50" i="75"/>
  <c r="S49" i="75"/>
  <c r="R49" i="75"/>
  <c r="S48" i="75"/>
  <c r="R48" i="75"/>
  <c r="S47" i="75"/>
  <c r="R47" i="75"/>
  <c r="S46" i="75"/>
  <c r="R46" i="75"/>
  <c r="S45" i="75"/>
  <c r="R45" i="75"/>
  <c r="S44" i="75"/>
  <c r="R44" i="75"/>
  <c r="S43" i="75"/>
  <c r="R43" i="75"/>
  <c r="S42" i="75"/>
  <c r="R42" i="75"/>
  <c r="S41" i="75"/>
  <c r="R41" i="75"/>
  <c r="S40" i="75"/>
  <c r="R40" i="75"/>
  <c r="S39" i="75"/>
  <c r="R39" i="75"/>
  <c r="S38" i="75"/>
  <c r="R38" i="75"/>
  <c r="S37" i="75"/>
  <c r="R37" i="75"/>
  <c r="S36" i="75"/>
  <c r="R36" i="75"/>
  <c r="S35" i="75"/>
  <c r="R35" i="75"/>
  <c r="S34" i="75"/>
  <c r="R34" i="75"/>
  <c r="S33" i="75"/>
  <c r="R33" i="75"/>
  <c r="S32" i="75"/>
  <c r="R32" i="75"/>
  <c r="S31" i="75"/>
  <c r="R31" i="75"/>
  <c r="S30" i="75"/>
  <c r="R30" i="75"/>
  <c r="S29" i="75"/>
  <c r="R29" i="75"/>
  <c r="S28" i="75"/>
  <c r="R28" i="75"/>
  <c r="S27" i="75"/>
  <c r="R27" i="75"/>
  <c r="S26" i="75"/>
  <c r="R26" i="75"/>
  <c r="S25" i="75"/>
  <c r="R25" i="75"/>
  <c r="S24" i="75"/>
  <c r="R24" i="75"/>
  <c r="S23" i="75"/>
  <c r="R23" i="75"/>
  <c r="S22" i="75"/>
  <c r="R22" i="75"/>
  <c r="S21" i="75"/>
  <c r="R21" i="75"/>
  <c r="S20" i="75"/>
  <c r="R20" i="75"/>
  <c r="S19" i="75"/>
  <c r="R19" i="75"/>
  <c r="S18" i="75"/>
  <c r="R18" i="75"/>
  <c r="S17" i="75"/>
  <c r="R17" i="75"/>
  <c r="S16" i="75"/>
  <c r="R16" i="75"/>
  <c r="S15" i="75"/>
  <c r="R15" i="75"/>
  <c r="S14" i="75"/>
  <c r="R14" i="75"/>
  <c r="S13" i="75"/>
  <c r="R13" i="75"/>
  <c r="S12" i="75"/>
  <c r="R12" i="75"/>
  <c r="S11" i="75"/>
  <c r="R11" i="75"/>
  <c r="S10" i="75"/>
  <c r="R10" i="75"/>
  <c r="S9" i="75"/>
  <c r="R9" i="75"/>
  <c r="S8" i="75"/>
  <c r="R8" i="75"/>
  <c r="S7" i="75"/>
  <c r="R7" i="75"/>
  <c r="S6" i="75"/>
  <c r="R6" i="75"/>
  <c r="S5" i="75"/>
  <c r="R5" i="75"/>
  <c r="S4" i="75"/>
  <c r="R4" i="75"/>
  <c r="S3" i="75"/>
  <c r="R3" i="75"/>
  <c r="S2" i="75"/>
  <c r="R2" i="75"/>
  <c r="O50" i="65"/>
  <c r="O47" i="65"/>
  <c r="O46" i="65"/>
  <c r="O42" i="65"/>
  <c r="O41" i="65"/>
  <c r="O40" i="65"/>
  <c r="O38" i="65"/>
  <c r="O35" i="65"/>
  <c r="O34" i="65"/>
  <c r="M50" i="65"/>
  <c r="M47" i="65"/>
  <c r="M46" i="65"/>
  <c r="M42" i="65"/>
  <c r="M41" i="65"/>
  <c r="M40" i="65"/>
  <c r="M38" i="65"/>
  <c r="M34" i="65"/>
  <c r="M35" i="65"/>
  <c r="S50" i="65"/>
  <c r="S47" i="65"/>
  <c r="S46" i="65"/>
  <c r="S42" i="65"/>
  <c r="S41" i="65"/>
  <c r="S40" i="65"/>
  <c r="S38" i="65"/>
  <c r="S35" i="65"/>
  <c r="S34" i="65"/>
  <c r="Q50" i="65"/>
  <c r="Q47" i="65"/>
  <c r="P47" i="65"/>
  <c r="Q46" i="65"/>
  <c r="Q42" i="65"/>
  <c r="R42" i="65"/>
  <c r="Q41" i="65"/>
  <c r="Q40" i="65"/>
  <c r="Q38" i="65"/>
  <c r="Q35" i="65"/>
  <c r="Q34" i="65"/>
  <c r="D55" i="21"/>
  <c r="H51" i="21"/>
  <c r="G51" i="21"/>
  <c r="F51" i="21"/>
  <c r="E51" i="21"/>
  <c r="D51" i="21"/>
  <c r="C51" i="21"/>
  <c r="C20" i="62"/>
  <c r="E130" i="65" s="1"/>
  <c r="C8" i="62"/>
  <c r="N48" i="65" s="1"/>
  <c r="C17" i="65" l="1"/>
  <c r="C18" i="65" s="1"/>
  <c r="S21" i="81"/>
  <c r="P30" i="81"/>
  <c r="S30" i="81"/>
  <c r="R61" i="81"/>
  <c r="P14" i="81"/>
  <c r="P21" i="81"/>
  <c r="Q61" i="81"/>
  <c r="T61" i="81" s="1"/>
  <c r="S61" i="81"/>
  <c r="S39" i="81"/>
  <c r="S35" i="81"/>
  <c r="P12" i="81"/>
  <c r="P61" i="81"/>
  <c r="Q35" i="83"/>
  <c r="T35" i="83" s="1"/>
  <c r="P25" i="83"/>
  <c r="R66" i="83"/>
  <c r="Q25" i="83"/>
  <c r="T25" i="83" s="1"/>
  <c r="R50" i="83"/>
  <c r="S50" i="83"/>
  <c r="S29" i="83"/>
  <c r="P73" i="83"/>
  <c r="R9" i="83"/>
  <c r="H111" i="97" s="1"/>
  <c r="S26" i="83"/>
  <c r="T3" i="83"/>
  <c r="G105" i="97"/>
  <c r="R19" i="83"/>
  <c r="R48" i="83"/>
  <c r="Q73" i="83"/>
  <c r="T73" i="83" s="1"/>
  <c r="S9" i="83"/>
  <c r="I111" i="97" s="1"/>
  <c r="R73" i="83"/>
  <c r="Q45" i="83"/>
  <c r="T45" i="83" s="1"/>
  <c r="R24" i="83"/>
  <c r="R29" i="83"/>
  <c r="S48" i="83"/>
  <c r="Q9" i="83"/>
  <c r="S73" i="83"/>
  <c r="R45" i="83"/>
  <c r="Q19" i="83"/>
  <c r="T19" i="83" s="1"/>
  <c r="R11" i="83"/>
  <c r="H113" i="97" s="1"/>
  <c r="R70" i="83"/>
  <c r="S11" i="83"/>
  <c r="I113" i="97" s="1"/>
  <c r="T8" i="83"/>
  <c r="G110" i="97"/>
  <c r="T11" i="83"/>
  <c r="G113" i="97"/>
  <c r="S70" i="83"/>
  <c r="P9" i="83"/>
  <c r="F111" i="97" s="1"/>
  <c r="S39" i="83"/>
  <c r="Q71" i="83"/>
  <c r="T71" i="83" s="1"/>
  <c r="O50" i="79"/>
  <c r="R50" i="79"/>
  <c r="O51" i="79"/>
  <c r="R25" i="79"/>
  <c r="S72" i="79"/>
  <c r="Q50" i="79"/>
  <c r="T50" i="79" s="1"/>
  <c r="S50" i="79"/>
  <c r="R14" i="79"/>
  <c r="Q25" i="79"/>
  <c r="T25" i="79" s="1"/>
  <c r="Q72" i="79"/>
  <c r="T72" i="79" s="1"/>
  <c r="S14" i="79"/>
  <c r="S73" i="79"/>
  <c r="P73" i="79"/>
  <c r="O60" i="79"/>
  <c r="P67" i="79"/>
  <c r="P60" i="79"/>
  <c r="P24" i="79"/>
  <c r="S18" i="79"/>
  <c r="Q41" i="79"/>
  <c r="T41" i="79" s="1"/>
  <c r="R30" i="79"/>
  <c r="R41" i="79"/>
  <c r="Q11" i="79"/>
  <c r="T11" i="79" s="1"/>
  <c r="R11" i="79"/>
  <c r="R18" i="79"/>
  <c r="P29" i="79"/>
  <c r="R36" i="79"/>
  <c r="Q47" i="79"/>
  <c r="T47" i="79" s="1"/>
  <c r="S36" i="79"/>
  <c r="R47" i="79"/>
  <c r="P64" i="79"/>
  <c r="Q35" i="79"/>
  <c r="T35" i="79" s="1"/>
  <c r="S64" i="79"/>
  <c r="Q12" i="79"/>
  <c r="P55" i="79"/>
  <c r="S61" i="79"/>
  <c r="O44" i="79"/>
  <c r="S48" i="79"/>
  <c r="P18" i="79"/>
  <c r="P74" i="79"/>
  <c r="R63" i="79"/>
  <c r="S63" i="79"/>
  <c r="P12" i="79"/>
  <c r="R61" i="79"/>
  <c r="R12" i="79"/>
  <c r="Q55" i="79"/>
  <c r="T55" i="79" s="1"/>
  <c r="R2" i="79"/>
  <c r="P30" i="79"/>
  <c r="P41" i="79"/>
  <c r="P63" i="79"/>
  <c r="Q18" i="79"/>
  <c r="T18" i="79" s="1"/>
  <c r="P35" i="79"/>
  <c r="S12" i="79"/>
  <c r="T7" i="79"/>
  <c r="O69" i="79"/>
  <c r="T2" i="79"/>
  <c r="S39" i="79"/>
  <c r="Q30" i="79"/>
  <c r="T30" i="79" s="1"/>
  <c r="Q29" i="79"/>
  <c r="T29" i="79" s="1"/>
  <c r="R29" i="79"/>
  <c r="O23" i="79"/>
  <c r="S29" i="79"/>
  <c r="P72" i="79"/>
  <c r="Q28" i="79"/>
  <c r="T28" i="79" s="1"/>
  <c r="S25" i="79"/>
  <c r="Q69" i="79"/>
  <c r="T69" i="79" s="1"/>
  <c r="Q67" i="79"/>
  <c r="T67" i="79" s="1"/>
  <c r="O45" i="79"/>
  <c r="O56" i="79"/>
  <c r="O55" i="79"/>
  <c r="O40" i="79"/>
  <c r="Q45" i="79"/>
  <c r="T45" i="79" s="1"/>
  <c r="O41" i="79"/>
  <c r="S2" i="79"/>
  <c r="Q63" i="79"/>
  <c r="T63" i="79" s="1"/>
  <c r="S11" i="79"/>
  <c r="T8" i="79"/>
  <c r="R72" i="79"/>
  <c r="O16" i="79"/>
  <c r="Q73" i="79"/>
  <c r="T73" i="79" s="1"/>
  <c r="S22" i="79"/>
  <c r="S45" i="79"/>
  <c r="R72" i="84"/>
  <c r="O9" i="84"/>
  <c r="E83" i="97" s="1"/>
  <c r="R47" i="84"/>
  <c r="Q9" i="84"/>
  <c r="S9" i="84"/>
  <c r="I83" i="97" s="1"/>
  <c r="Q61" i="84"/>
  <c r="T61" i="84" s="1"/>
  <c r="Q53" i="84"/>
  <c r="T53" i="84" s="1"/>
  <c r="R36" i="84"/>
  <c r="R53" i="84"/>
  <c r="Q71" i="84"/>
  <c r="T71" i="84" s="1"/>
  <c r="T9" i="84"/>
  <c r="G83" i="97"/>
  <c r="O24" i="84"/>
  <c r="R32" i="84"/>
  <c r="S19" i="84"/>
  <c r="R33" i="84"/>
  <c r="P62" i="84"/>
  <c r="S48" i="84"/>
  <c r="O41" i="84"/>
  <c r="Q30" i="84"/>
  <c r="T30" i="84" s="1"/>
  <c r="Q11" i="84"/>
  <c r="T11" i="84" s="1"/>
  <c r="G81" i="97"/>
  <c r="T7" i="84"/>
  <c r="T12" i="84"/>
  <c r="G85" i="97"/>
  <c r="R12" i="84"/>
  <c r="H85" i="97" s="1"/>
  <c r="R7" i="84"/>
  <c r="H81" i="97" s="1"/>
  <c r="Q6" i="84"/>
  <c r="S67" i="84"/>
  <c r="S6" i="84"/>
  <c r="I80" i="97" s="1"/>
  <c r="P10" i="84"/>
  <c r="F84" i="97" s="1"/>
  <c r="O39" i="84"/>
  <c r="S3" i="84"/>
  <c r="I77" i="97" s="1"/>
  <c r="S2" i="84"/>
  <c r="I76" i="97" s="1"/>
  <c r="P41" i="84"/>
  <c r="R30" i="84"/>
  <c r="O40" i="84"/>
  <c r="O12" i="84"/>
  <c r="E85" i="97" s="1"/>
  <c r="P7" i="84"/>
  <c r="F81" i="97" s="1"/>
  <c r="P6" i="84"/>
  <c r="F80" i="97" s="1"/>
  <c r="P32" i="84"/>
  <c r="P19" i="84"/>
  <c r="Q39" i="84"/>
  <c r="T39" i="84" s="1"/>
  <c r="R2" i="84"/>
  <c r="H76" i="97" s="1"/>
  <c r="O30" i="84"/>
  <c r="R41" i="84"/>
  <c r="P40" i="84"/>
  <c r="O19" i="84"/>
  <c r="S14" i="84"/>
  <c r="R6" i="84"/>
  <c r="H80" i="97" s="1"/>
  <c r="P51" i="84"/>
  <c r="R24" i="84"/>
  <c r="T5" i="84"/>
  <c r="G79" i="97"/>
  <c r="O5" i="84"/>
  <c r="E79" i="97" s="1"/>
  <c r="P69" i="84"/>
  <c r="R5" i="84"/>
  <c r="H79" i="97" s="1"/>
  <c r="R48" i="84"/>
  <c r="S41" i="84"/>
  <c r="O49" i="84"/>
  <c r="Q40" i="84"/>
  <c r="T40" i="84" s="1"/>
  <c r="O7" i="84"/>
  <c r="E81" i="97" s="1"/>
  <c r="Q29" i="84"/>
  <c r="T29" i="84" s="1"/>
  <c r="G84" i="97"/>
  <c r="T10" i="84"/>
  <c r="P24" i="84"/>
  <c r="S51" i="84"/>
  <c r="R54" i="84"/>
  <c r="P45" i="84"/>
  <c r="P49" i="84"/>
  <c r="R40" i="84"/>
  <c r="P20" i="84"/>
  <c r="P3" i="84"/>
  <c r="F77" i="97" s="1"/>
  <c r="P5" i="84"/>
  <c r="F79" i="97" s="1"/>
  <c r="S36" i="84"/>
  <c r="P9" i="84"/>
  <c r="F83" i="97" s="1"/>
  <c r="Q47" i="84"/>
  <c r="T47" i="84" s="1"/>
  <c r="R49" i="84"/>
  <c r="S27" i="86"/>
  <c r="R27" i="86"/>
  <c r="G65" i="97"/>
  <c r="T4" i="86"/>
  <c r="S38" i="86"/>
  <c r="R4" i="86"/>
  <c r="H65" i="97" s="1"/>
  <c r="S65" i="86"/>
  <c r="T36" i="86"/>
  <c r="G70" i="97"/>
  <c r="Q6" i="86"/>
  <c r="P26" i="86"/>
  <c r="R76" i="86"/>
  <c r="P4" i="86"/>
  <c r="F65" i="97" s="1"/>
  <c r="G68" i="97"/>
  <c r="T7" i="86"/>
  <c r="O74" i="86"/>
  <c r="S46" i="86"/>
  <c r="S6" i="86"/>
  <c r="I67" i="97" s="1"/>
  <c r="R26" i="86"/>
  <c r="S43" i="86"/>
  <c r="O4" i="86"/>
  <c r="E65" i="97" s="1"/>
  <c r="S36" i="86"/>
  <c r="I70" i="97" s="1"/>
  <c r="P48" i="86"/>
  <c r="S4" i="86"/>
  <c r="I65" i="97" s="1"/>
  <c r="S26" i="86"/>
  <c r="S28" i="86"/>
  <c r="S76" i="86"/>
  <c r="S18" i="87"/>
  <c r="R60" i="87"/>
  <c r="R18" i="87"/>
  <c r="P5" i="87"/>
  <c r="F51" i="97" s="1"/>
  <c r="P28" i="87"/>
  <c r="Q70" i="87"/>
  <c r="T70" i="87" s="1"/>
  <c r="O28" i="87"/>
  <c r="R66" i="87"/>
  <c r="P2" i="87"/>
  <c r="F48" i="97" s="1"/>
  <c r="P47" i="87"/>
  <c r="R47" i="87"/>
  <c r="P73" i="87"/>
  <c r="P25" i="87"/>
  <c r="P26" i="87"/>
  <c r="T6" i="87"/>
  <c r="G52" i="97"/>
  <c r="Q73" i="87"/>
  <c r="T73" i="87" s="1"/>
  <c r="R54" i="87"/>
  <c r="R39" i="87"/>
  <c r="Q36" i="87"/>
  <c r="T36" i="87" s="1"/>
  <c r="R73" i="87"/>
  <c r="R49" i="87"/>
  <c r="Q50" i="87"/>
  <c r="T50" i="87" s="1"/>
  <c r="T8" i="87"/>
  <c r="G54" i="97"/>
  <c r="P30" i="87"/>
  <c r="S11" i="87"/>
  <c r="I57" i="97" s="1"/>
  <c r="S73" i="87"/>
  <c r="S49" i="87"/>
  <c r="P50" i="87"/>
  <c r="P42" i="87"/>
  <c r="S39" i="87"/>
  <c r="R36" i="87"/>
  <c r="R24" i="87"/>
  <c r="Q28" i="87"/>
  <c r="T28" i="87" s="1"/>
  <c r="P7" i="87"/>
  <c r="F53" i="97" s="1"/>
  <c r="R50" i="87"/>
  <c r="P71" i="87"/>
  <c r="R7" i="87"/>
  <c r="H53" i="97" s="1"/>
  <c r="S50" i="87"/>
  <c r="O46" i="87"/>
  <c r="R76" i="87"/>
  <c r="O36" i="87"/>
  <c r="Q8" i="85"/>
  <c r="G40" i="97" s="1"/>
  <c r="R61" i="85"/>
  <c r="S65" i="85"/>
  <c r="S61" i="85"/>
  <c r="R37" i="85"/>
  <c r="O8" i="85"/>
  <c r="E40" i="97" s="1"/>
  <c r="Q35" i="85"/>
  <c r="T35" i="85" s="1"/>
  <c r="S5" i="85"/>
  <c r="I37" i="97" s="1"/>
  <c r="P36" i="85"/>
  <c r="Q36" i="85"/>
  <c r="T36" i="85" s="1"/>
  <c r="Q18" i="85"/>
  <c r="T18" i="85" s="1"/>
  <c r="P45" i="85"/>
  <c r="R36" i="85"/>
  <c r="P42" i="85"/>
  <c r="R18" i="85"/>
  <c r="Q45" i="85"/>
  <c r="T45" i="85" s="1"/>
  <c r="Q49" i="85"/>
  <c r="T49" i="85" s="1"/>
  <c r="O7" i="85"/>
  <c r="E39" i="97" s="1"/>
  <c r="P35" i="85"/>
  <c r="T3" i="85"/>
  <c r="G35" i="97"/>
  <c r="P38" i="85"/>
  <c r="Q38" i="85"/>
  <c r="T38" i="85" s="1"/>
  <c r="Q14" i="85"/>
  <c r="T14" i="85" s="1"/>
  <c r="Q42" i="85"/>
  <c r="T42" i="85" s="1"/>
  <c r="S18" i="85"/>
  <c r="R45" i="85"/>
  <c r="R49" i="85"/>
  <c r="P7" i="85"/>
  <c r="F39" i="97" s="1"/>
  <c r="Q5" i="85"/>
  <c r="P18" i="85"/>
  <c r="S45" i="85"/>
  <c r="Q7" i="85"/>
  <c r="O35" i="85"/>
  <c r="P49" i="85"/>
  <c r="Q29" i="85"/>
  <c r="T29" i="85" s="1"/>
  <c r="S35" i="85"/>
  <c r="P37" i="85"/>
  <c r="P5" i="85"/>
  <c r="F37" i="97" s="1"/>
  <c r="T10" i="85"/>
  <c r="G42" i="97"/>
  <c r="R5" i="85"/>
  <c r="H37" i="97" s="1"/>
  <c r="P67" i="85"/>
  <c r="P62" i="85"/>
  <c r="P71" i="85"/>
  <c r="Q31" i="81"/>
  <c r="T31" i="81" s="1"/>
  <c r="S18" i="81"/>
  <c r="R13" i="81"/>
  <c r="R26" i="81"/>
  <c r="Q40" i="81"/>
  <c r="T40" i="81" s="1"/>
  <c r="Q66" i="81"/>
  <c r="T66" i="81" s="1"/>
  <c r="S36" i="81"/>
  <c r="Q42" i="81"/>
  <c r="T42" i="81" s="1"/>
  <c r="O51" i="81"/>
  <c r="P60" i="81"/>
  <c r="Q74" i="81"/>
  <c r="T74" i="81" s="1"/>
  <c r="Q26" i="81"/>
  <c r="T26" i="81" s="1"/>
  <c r="R8" i="81"/>
  <c r="R51" i="81"/>
  <c r="R60" i="81"/>
  <c r="S26" i="81"/>
  <c r="O25" i="81"/>
  <c r="O27" i="81"/>
  <c r="R66" i="81"/>
  <c r="O43" i="81"/>
  <c r="P43" i="81"/>
  <c r="P69" i="81"/>
  <c r="P62" i="81"/>
  <c r="P25" i="81"/>
  <c r="P27" i="81"/>
  <c r="P38" i="81"/>
  <c r="S5" i="81"/>
  <c r="Q27" i="81"/>
  <c r="T27" i="81" s="1"/>
  <c r="S41" i="81"/>
  <c r="P45" i="81"/>
  <c r="R54" i="81"/>
  <c r="O69" i="81"/>
  <c r="O26" i="81"/>
  <c r="R38" i="81"/>
  <c r="S27" i="81"/>
  <c r="S54" i="81"/>
  <c r="R70" i="81"/>
  <c r="P71" i="81"/>
  <c r="S62" i="81"/>
  <c r="O38" i="81"/>
  <c r="Q62" i="81"/>
  <c r="T62" i="81" s="1"/>
  <c r="S12" i="81"/>
  <c r="P39" i="81"/>
  <c r="R24" i="81"/>
  <c r="R75" i="81"/>
  <c r="R31" i="81"/>
  <c r="S63" i="81"/>
  <c r="Q39" i="81"/>
  <c r="T39" i="81" s="1"/>
  <c r="S75" i="81"/>
  <c r="E158" i="65"/>
  <c r="N13" i="35"/>
  <c r="N17" i="35" s="1"/>
  <c r="F150" i="65" s="1"/>
  <c r="N13" i="50"/>
  <c r="N17" i="50" s="1"/>
  <c r="F160" i="65" s="1"/>
  <c r="N13" i="27"/>
  <c r="N16" i="27" s="1"/>
  <c r="D148" i="65" s="1"/>
  <c r="N13" i="57"/>
  <c r="N17" i="57" s="1"/>
  <c r="F156" i="65" s="1"/>
  <c r="C9" i="62"/>
  <c r="D33" i="62"/>
  <c r="E103" i="65"/>
  <c r="C34" i="62"/>
  <c r="C15" i="62" s="1"/>
  <c r="D34" i="62"/>
  <c r="R48" i="65"/>
  <c r="E76" i="65"/>
  <c r="I49" i="96"/>
  <c r="D54" i="96"/>
  <c r="J60" i="96" s="1"/>
  <c r="E53" i="96"/>
  <c r="C36" i="96"/>
  <c r="C89" i="96" s="1"/>
  <c r="F53" i="96"/>
  <c r="C69" i="96" s="1"/>
  <c r="R6" i="86"/>
  <c r="H67" i="97" s="1"/>
  <c r="S17" i="86"/>
  <c r="Q20" i="86"/>
  <c r="T20" i="86" s="1"/>
  <c r="O60" i="86"/>
  <c r="S59" i="86"/>
  <c r="P72" i="86"/>
  <c r="O9" i="86"/>
  <c r="P35" i="86"/>
  <c r="S20" i="86"/>
  <c r="Q60" i="86"/>
  <c r="T60" i="86" s="1"/>
  <c r="O52" i="86"/>
  <c r="S63" i="86"/>
  <c r="O76" i="86"/>
  <c r="Q76" i="86"/>
  <c r="T76" i="86" s="1"/>
  <c r="Q31" i="86"/>
  <c r="T31" i="86" s="1"/>
  <c r="P62" i="86"/>
  <c r="P65" i="86"/>
  <c r="P75" i="86"/>
  <c r="Q38" i="86"/>
  <c r="T38" i="86" s="1"/>
  <c r="R31" i="86"/>
  <c r="O56" i="86"/>
  <c r="S50" i="86"/>
  <c r="R62" i="86"/>
  <c r="R65" i="86"/>
  <c r="Q75" i="86"/>
  <c r="T75" i="86" s="1"/>
  <c r="S10" i="86"/>
  <c r="R37" i="86"/>
  <c r="O54" i="86"/>
  <c r="S29" i="86"/>
  <c r="R8" i="86"/>
  <c r="H69" i="97" s="1"/>
  <c r="S31" i="86"/>
  <c r="Q35" i="86"/>
  <c r="T35" i="86" s="1"/>
  <c r="S42" i="86"/>
  <c r="Q59" i="86"/>
  <c r="T59" i="86" s="1"/>
  <c r="R59" i="86"/>
  <c r="E25" i="66"/>
  <c r="E19" i="66"/>
  <c r="E13" i="66"/>
  <c r="E12" i="66"/>
  <c r="R15" i="81"/>
  <c r="Q17" i="81"/>
  <c r="T17" i="81" s="1"/>
  <c r="O22" i="81"/>
  <c r="R40" i="81"/>
  <c r="P46" i="81"/>
  <c r="O72" i="81"/>
  <c r="R71" i="81"/>
  <c r="S15" i="81"/>
  <c r="R17" i="81"/>
  <c r="P22" i="81"/>
  <c r="S40" i="81"/>
  <c r="S46" i="81"/>
  <c r="P72" i="81"/>
  <c r="Q7" i="81"/>
  <c r="T7" i="81" s="1"/>
  <c r="P2" i="81"/>
  <c r="R25" i="81"/>
  <c r="R9" i="81"/>
  <c r="O49" i="81"/>
  <c r="R47" i="81"/>
  <c r="Q53" i="81"/>
  <c r="T53" i="81" s="1"/>
  <c r="R43" i="81"/>
  <c r="S72" i="81"/>
  <c r="S73" i="81"/>
  <c r="Q69" i="81"/>
  <c r="T69" i="81" s="1"/>
  <c r="S17" i="81"/>
  <c r="R22" i="81"/>
  <c r="O2" i="81"/>
  <c r="Q25" i="81"/>
  <c r="T25" i="81" s="1"/>
  <c r="S7" i="81"/>
  <c r="R2" i="81"/>
  <c r="S9" i="81"/>
  <c r="P32" i="81"/>
  <c r="P49" i="81"/>
  <c r="S53" i="81"/>
  <c r="Q52" i="81"/>
  <c r="T52" i="81" s="1"/>
  <c r="O58" i="81"/>
  <c r="R69" i="81"/>
  <c r="Q47" i="81"/>
  <c r="T47" i="81" s="1"/>
  <c r="P53" i="81"/>
  <c r="R72" i="81"/>
  <c r="P73" i="81"/>
  <c r="S32" i="81"/>
  <c r="Q49" i="81"/>
  <c r="T49" i="81" s="1"/>
  <c r="R36" i="81"/>
  <c r="O60" i="81"/>
  <c r="R52" i="81"/>
  <c r="P42" i="81"/>
  <c r="P58" i="81"/>
  <c r="P7" i="81"/>
  <c r="R49" i="81"/>
  <c r="R58" i="81"/>
  <c r="S14" i="81"/>
  <c r="S31" i="81"/>
  <c r="Q21" i="81"/>
  <c r="T21" i="81" s="1"/>
  <c r="P51" i="81"/>
  <c r="S45" i="81"/>
  <c r="Q60" i="81"/>
  <c r="T60" i="81" s="1"/>
  <c r="O24" i="81"/>
  <c r="S42" i="81"/>
  <c r="Q70" i="81"/>
  <c r="T70" i="81" s="1"/>
  <c r="P74" i="81"/>
  <c r="R18" i="81"/>
  <c r="Q13" i="81"/>
  <c r="T13" i="81" s="1"/>
  <c r="P41" i="81"/>
  <c r="S24" i="81"/>
  <c r="P63" i="81"/>
  <c r="S74" i="81"/>
  <c r="Q29" i="81"/>
  <c r="T29" i="81" s="1"/>
  <c r="P48" i="81"/>
  <c r="O64" i="81"/>
  <c r="P76" i="81"/>
  <c r="O40" i="81"/>
  <c r="R29" i="81"/>
  <c r="Q48" i="81"/>
  <c r="T48" i="81" s="1"/>
  <c r="P64" i="81"/>
  <c r="S76" i="81"/>
  <c r="Q20" i="81"/>
  <c r="T20" i="81" s="1"/>
  <c r="R20" i="81"/>
  <c r="P5" i="81"/>
  <c r="O8" i="81"/>
  <c r="R11" i="81"/>
  <c r="S20" i="81"/>
  <c r="Q5" i="81"/>
  <c r="T5" i="81" s="1"/>
  <c r="P8" i="81"/>
  <c r="S11" i="81"/>
  <c r="P35" i="81"/>
  <c r="S48" i="81"/>
  <c r="R64" i="81"/>
  <c r="O71" i="81"/>
  <c r="O55" i="83"/>
  <c r="S4" i="83"/>
  <c r="I106" i="97" s="1"/>
  <c r="S38" i="83"/>
  <c r="R60" i="83"/>
  <c r="P51" i="83"/>
  <c r="P42" i="83"/>
  <c r="P7" i="83"/>
  <c r="F109" i="97" s="1"/>
  <c r="R68" i="83"/>
  <c r="P62" i="83"/>
  <c r="P26" i="83"/>
  <c r="S3" i="83"/>
  <c r="I105" i="97" s="1"/>
  <c r="Q60" i="83"/>
  <c r="T60" i="83" s="1"/>
  <c r="R41" i="83"/>
  <c r="R44" i="83"/>
  <c r="S44" i="83"/>
  <c r="P39" i="83"/>
  <c r="Q39" i="83"/>
  <c r="T39" i="83" s="1"/>
  <c r="R32" i="83"/>
  <c r="Q62" i="83"/>
  <c r="T62" i="83" s="1"/>
  <c r="R47" i="83"/>
  <c r="Q26" i="83"/>
  <c r="T26" i="83" s="1"/>
  <c r="R3" i="83"/>
  <c r="H105" i="97" s="1"/>
  <c r="R39" i="83"/>
  <c r="O70" i="83"/>
  <c r="P71" i="83"/>
  <c r="S32" i="83"/>
  <c r="R62" i="83"/>
  <c r="O50" i="83"/>
  <c r="P45" i="83"/>
  <c r="S47" i="83"/>
  <c r="R26" i="83"/>
  <c r="Q58" i="83"/>
  <c r="T58" i="83" s="1"/>
  <c r="R58" i="83"/>
  <c r="P60" i="83"/>
  <c r="O49" i="83"/>
  <c r="P58" i="83"/>
  <c r="S8" i="83"/>
  <c r="I110" i="97" s="1"/>
  <c r="O36" i="83"/>
  <c r="P41" i="83"/>
  <c r="S24" i="83"/>
  <c r="R36" i="83"/>
  <c r="Q41" i="83"/>
  <c r="T41" i="83" s="1"/>
  <c r="R8" i="83"/>
  <c r="H110" i="97" s="1"/>
  <c r="R63" i="83"/>
  <c r="Q51" i="83"/>
  <c r="T51" i="83" s="1"/>
  <c r="S51" i="83"/>
  <c r="S42" i="83"/>
  <c r="R37" i="83"/>
  <c r="S68" i="83"/>
  <c r="R76" i="83"/>
  <c r="P4" i="83"/>
  <c r="F106" i="97" s="1"/>
  <c r="S55" i="83"/>
  <c r="R7" i="83"/>
  <c r="H109" i="97" s="1"/>
  <c r="P38" i="83"/>
  <c r="S37" i="83"/>
  <c r="R25" i="83"/>
  <c r="S36" i="83"/>
  <c r="Q42" i="83"/>
  <c r="T42" i="83" s="1"/>
  <c r="O68" i="83"/>
  <c r="P76" i="83"/>
  <c r="S63" i="83"/>
  <c r="R51" i="83"/>
  <c r="O37" i="83"/>
  <c r="Q76" i="83"/>
  <c r="T76" i="83" s="1"/>
  <c r="R43" i="83"/>
  <c r="Q38" i="83"/>
  <c r="T38" i="83" s="1"/>
  <c r="R49" i="83"/>
  <c r="S49" i="83"/>
  <c r="R42" i="83"/>
  <c r="R55" i="83"/>
  <c r="Q7" i="83"/>
  <c r="Q4" i="83"/>
  <c r="O11" i="83"/>
  <c r="E113" i="97" s="1"/>
  <c r="P19" i="83"/>
  <c r="S66" i="83"/>
  <c r="R4" i="83"/>
  <c r="H106" i="97" s="1"/>
  <c r="O48" i="83"/>
  <c r="P35" i="83"/>
  <c r="S43" i="83"/>
  <c r="R38" i="83"/>
  <c r="O29" i="83"/>
  <c r="R53" i="79"/>
  <c r="P56" i="79"/>
  <c r="P23" i="79"/>
  <c r="O21" i="79"/>
  <c r="Q31" i="79"/>
  <c r="T31" i="79" s="1"/>
  <c r="Q56" i="79"/>
  <c r="T56" i="79" s="1"/>
  <c r="O2" i="79"/>
  <c r="Q5" i="79"/>
  <c r="S20" i="79"/>
  <c r="R76" i="79"/>
  <c r="S37" i="79"/>
  <c r="O70" i="79"/>
  <c r="R38" i="79"/>
  <c r="P44" i="79"/>
  <c r="R17" i="79"/>
  <c r="S55" i="79"/>
  <c r="P2" i="79"/>
  <c r="O27" i="79"/>
  <c r="R5" i="79"/>
  <c r="P25" i="79"/>
  <c r="S76" i="79"/>
  <c r="R73" i="79"/>
  <c r="P66" i="79"/>
  <c r="O47" i="79"/>
  <c r="R39" i="79"/>
  <c r="P70" i="79"/>
  <c r="S38" i="79"/>
  <c r="Q44" i="79"/>
  <c r="T44" i="79" s="1"/>
  <c r="O11" i="79"/>
  <c r="Q3" i="79"/>
  <c r="S15" i="79"/>
  <c r="R67" i="79"/>
  <c r="P21" i="79"/>
  <c r="R13" i="79"/>
  <c r="P47" i="79"/>
  <c r="Q70" i="79"/>
  <c r="T70" i="79" s="1"/>
  <c r="R44" i="79"/>
  <c r="S19" i="79"/>
  <c r="S69" i="79"/>
  <c r="R70" i="79"/>
  <c r="O9" i="79"/>
  <c r="O30" i="79"/>
  <c r="O42" i="79"/>
  <c r="P3" i="79"/>
  <c r="P6" i="79"/>
  <c r="R19" i="79"/>
  <c r="P16" i="79"/>
  <c r="P69" i="79"/>
  <c r="O10" i="79"/>
  <c r="O53" i="79"/>
  <c r="P45" i="79"/>
  <c r="R3" i="79"/>
  <c r="P4" i="79"/>
  <c r="R15" i="79"/>
  <c r="R16" i="79"/>
  <c r="O34" i="79"/>
  <c r="O31" i="79"/>
  <c r="Q53" i="79"/>
  <c r="T53" i="79" s="1"/>
  <c r="P46" i="79"/>
  <c r="P31" i="79"/>
  <c r="S53" i="79"/>
  <c r="Q23" i="79"/>
  <c r="T23" i="79" s="1"/>
  <c r="R31" i="79"/>
  <c r="P52" i="79"/>
  <c r="Q46" i="79"/>
  <c r="T46" i="79" s="1"/>
  <c r="P49" i="79"/>
  <c r="R8" i="79"/>
  <c r="P13" i="79"/>
  <c r="R56" i="79"/>
  <c r="P20" i="79"/>
  <c r="O26" i="79"/>
  <c r="R23" i="79"/>
  <c r="O76" i="79"/>
  <c r="Q21" i="79"/>
  <c r="T21" i="79" s="1"/>
  <c r="P37" i="79"/>
  <c r="Q52" i="79"/>
  <c r="T52" i="79" s="1"/>
  <c r="R46" i="79"/>
  <c r="P62" i="79"/>
  <c r="S35" i="79"/>
  <c r="S49" i="79"/>
  <c r="O13" i="79"/>
  <c r="S17" i="79"/>
  <c r="R35" i="79"/>
  <c r="S8" i="79"/>
  <c r="Q13" i="79"/>
  <c r="T13" i="79" s="1"/>
  <c r="Q20" i="79"/>
  <c r="T20" i="79" s="1"/>
  <c r="P76" i="79"/>
  <c r="R21" i="79"/>
  <c r="Q37" i="79"/>
  <c r="T37" i="79" s="1"/>
  <c r="R52" i="79"/>
  <c r="P22" i="79"/>
  <c r="S46" i="79"/>
  <c r="S62" i="79"/>
  <c r="S3" i="79"/>
  <c r="R28" i="79"/>
  <c r="O20" i="79"/>
  <c r="R37" i="79"/>
  <c r="S52" i="79"/>
  <c r="P27" i="84"/>
  <c r="Q57" i="84"/>
  <c r="T57" i="84" s="1"/>
  <c r="R38" i="84"/>
  <c r="O71" i="84"/>
  <c r="S65" i="84"/>
  <c r="R63" i="84"/>
  <c r="S75" i="84"/>
  <c r="O3" i="84"/>
  <c r="E77" i="97" s="1"/>
  <c r="P47" i="84"/>
  <c r="Q48" i="84"/>
  <c r="T48" i="84" s="1"/>
  <c r="R73" i="84"/>
  <c r="P58" i="84"/>
  <c r="Q33" i="84"/>
  <c r="T33" i="84" s="1"/>
  <c r="S43" i="84"/>
  <c r="S63" i="84"/>
  <c r="O60" i="84"/>
  <c r="O14" i="84"/>
  <c r="Q67" i="84"/>
  <c r="T67" i="84" s="1"/>
  <c r="Q72" i="84"/>
  <c r="T72" i="84" s="1"/>
  <c r="P18" i="84"/>
  <c r="O10" i="84"/>
  <c r="E84" i="97" s="1"/>
  <c r="Q60" i="84"/>
  <c r="T60" i="84" s="1"/>
  <c r="S47" i="84"/>
  <c r="P14" i="84"/>
  <c r="R67" i="84"/>
  <c r="P68" i="84"/>
  <c r="S72" i="84"/>
  <c r="O51" i="84"/>
  <c r="Q36" i="84"/>
  <c r="T36" i="84" s="1"/>
  <c r="R10" i="84"/>
  <c r="H84" i="97" s="1"/>
  <c r="P64" i="84"/>
  <c r="O32" i="84"/>
  <c r="Q2" i="84"/>
  <c r="Q28" i="84"/>
  <c r="T28" i="84" s="1"/>
  <c r="P22" i="84"/>
  <c r="O23" i="84"/>
  <c r="P50" i="84"/>
  <c r="P25" i="84"/>
  <c r="O50" i="84"/>
  <c r="Q52" i="84"/>
  <c r="T52" i="84" s="1"/>
  <c r="R28" i="84"/>
  <c r="O29" i="84"/>
  <c r="S22" i="84"/>
  <c r="S28" i="84"/>
  <c r="O20" i="84"/>
  <c r="P23" i="84"/>
  <c r="Q54" i="84"/>
  <c r="T54" i="84" s="1"/>
  <c r="R50" i="84"/>
  <c r="P37" i="84"/>
  <c r="O11" i="84"/>
  <c r="Q23" i="84"/>
  <c r="T23" i="84" s="1"/>
  <c r="O27" i="84"/>
  <c r="O57" i="84"/>
  <c r="S20" i="84"/>
  <c r="R23" i="84"/>
  <c r="S54" i="84"/>
  <c r="O74" i="84"/>
  <c r="P30" i="84"/>
  <c r="Q38" i="84"/>
  <c r="T38" i="84" s="1"/>
  <c r="P12" i="84"/>
  <c r="F85" i="97" s="1"/>
  <c r="O22" i="84"/>
  <c r="Q27" i="84"/>
  <c r="T27" i="84" s="1"/>
  <c r="O76" i="84"/>
  <c r="S38" i="84"/>
  <c r="R27" i="84"/>
  <c r="S53" i="84"/>
  <c r="O65" i="84"/>
  <c r="P63" i="84"/>
  <c r="Q75" i="84"/>
  <c r="T75" i="84" s="1"/>
  <c r="P55" i="84"/>
  <c r="O73" i="84"/>
  <c r="Q76" i="84"/>
  <c r="T76" i="84" s="1"/>
  <c r="O43" i="84"/>
  <c r="O52" i="84"/>
  <c r="P74" i="84"/>
  <c r="O63" i="84"/>
  <c r="S74" i="84"/>
  <c r="P65" i="84"/>
  <c r="R75" i="84"/>
  <c r="P73" i="84"/>
  <c r="O33" i="84"/>
  <c r="P43" i="84"/>
  <c r="S30" i="86"/>
  <c r="Q14" i="86"/>
  <c r="T14" i="86" s="1"/>
  <c r="Q25" i="86"/>
  <c r="T25" i="86" s="1"/>
  <c r="S15" i="86"/>
  <c r="R17" i="86"/>
  <c r="S25" i="86"/>
  <c r="O37" i="86"/>
  <c r="Q33" i="86"/>
  <c r="T33" i="86" s="1"/>
  <c r="O58" i="86"/>
  <c r="O61" i="86"/>
  <c r="S69" i="86"/>
  <c r="S18" i="86"/>
  <c r="P37" i="86"/>
  <c r="R33" i="86"/>
  <c r="Q61" i="86"/>
  <c r="T61" i="86" s="1"/>
  <c r="Q30" i="86"/>
  <c r="T30" i="86" s="1"/>
  <c r="P16" i="86"/>
  <c r="R64" i="86"/>
  <c r="P38" i="86"/>
  <c r="O12" i="86"/>
  <c r="P20" i="86"/>
  <c r="S22" i="86"/>
  <c r="I64" i="97" s="1"/>
  <c r="Q37" i="86"/>
  <c r="T37" i="86" s="1"/>
  <c r="R36" i="86"/>
  <c r="H70" i="97" s="1"/>
  <c r="S33" i="86"/>
  <c r="O62" i="86"/>
  <c r="Q65" i="86"/>
  <c r="T65" i="86" s="1"/>
  <c r="O72" i="86"/>
  <c r="S7" i="86"/>
  <c r="I68" i="97" s="1"/>
  <c r="O14" i="86"/>
  <c r="Q34" i="86"/>
  <c r="T34" i="86" s="1"/>
  <c r="P19" i="86"/>
  <c r="O73" i="86"/>
  <c r="S21" i="86"/>
  <c r="R7" i="86"/>
  <c r="H68" i="97" s="1"/>
  <c r="R35" i="86"/>
  <c r="Q41" i="86"/>
  <c r="T41" i="86" s="1"/>
  <c r="O19" i="86"/>
  <c r="R38" i="86"/>
  <c r="O26" i="86"/>
  <c r="Q8" i="86"/>
  <c r="R20" i="86"/>
  <c r="O32" i="86"/>
  <c r="O48" i="86"/>
  <c r="S57" i="86"/>
  <c r="Q62" i="86"/>
  <c r="T62" i="86" s="1"/>
  <c r="S8" i="86"/>
  <c r="I69" i="97" s="1"/>
  <c r="O35" i="86"/>
  <c r="Q48" i="86"/>
  <c r="T48" i="86" s="1"/>
  <c r="P42" i="86"/>
  <c r="P41" i="86"/>
  <c r="O68" i="86"/>
  <c r="Q68" i="86"/>
  <c r="T68" i="86" s="1"/>
  <c r="Q16" i="86"/>
  <c r="T16" i="86" s="1"/>
  <c r="O2" i="86"/>
  <c r="E62" i="97" s="1"/>
  <c r="O3" i="86"/>
  <c r="E63" i="97" s="1"/>
  <c r="P34" i="86"/>
  <c r="P14" i="86"/>
  <c r="Q64" i="86"/>
  <c r="T64" i="86" s="1"/>
  <c r="R41" i="86"/>
  <c r="R68" i="86"/>
  <c r="R16" i="86"/>
  <c r="R30" i="86"/>
  <c r="S16" i="86"/>
  <c r="O15" i="86"/>
  <c r="Q21" i="86"/>
  <c r="T21" i="86" s="1"/>
  <c r="R34" i="86"/>
  <c r="O25" i="86"/>
  <c r="Q19" i="86"/>
  <c r="T19" i="86" s="1"/>
  <c r="P39" i="86"/>
  <c r="S49" i="86"/>
  <c r="I71" i="97" s="1"/>
  <c r="R14" i="86"/>
  <c r="S64" i="86"/>
  <c r="P73" i="86"/>
  <c r="Q70" i="86"/>
  <c r="T70" i="86" s="1"/>
  <c r="P15" i="86"/>
  <c r="R21" i="86"/>
  <c r="S34" i="86"/>
  <c r="P25" i="86"/>
  <c r="Q39" i="86"/>
  <c r="T39" i="86" s="1"/>
  <c r="S66" i="86"/>
  <c r="Q73" i="86"/>
  <c r="T73" i="86" s="1"/>
  <c r="R70" i="86"/>
  <c r="R75" i="86"/>
  <c r="R73" i="86"/>
  <c r="S70" i="86"/>
  <c r="S75" i="86"/>
  <c r="S41" i="86"/>
  <c r="Q15" i="86"/>
  <c r="T15" i="86" s="1"/>
  <c r="R39" i="86"/>
  <c r="S40" i="86"/>
  <c r="S39" i="86"/>
  <c r="P33" i="86"/>
  <c r="Q7" i="87"/>
  <c r="P70" i="87"/>
  <c r="S24" i="87"/>
  <c r="P46" i="87"/>
  <c r="P58" i="87"/>
  <c r="S23" i="87"/>
  <c r="P45" i="87"/>
  <c r="S32" i="87"/>
  <c r="Q45" i="87"/>
  <c r="T45" i="87" s="1"/>
  <c r="S7" i="87"/>
  <c r="I53" i="97" s="1"/>
  <c r="R70" i="87"/>
  <c r="P11" i="87"/>
  <c r="F57" i="97" s="1"/>
  <c r="P41" i="87"/>
  <c r="O43" i="87"/>
  <c r="R45" i="87"/>
  <c r="S70" i="87"/>
  <c r="Q11" i="87"/>
  <c r="P43" i="87"/>
  <c r="S45" i="87"/>
  <c r="R11" i="87"/>
  <c r="H57" i="97" s="1"/>
  <c r="Q43" i="87"/>
  <c r="T43" i="87" s="1"/>
  <c r="P65" i="87"/>
  <c r="R59" i="87"/>
  <c r="Q47" i="87"/>
  <c r="T47" i="87" s="1"/>
  <c r="P69" i="87"/>
  <c r="P74" i="87"/>
  <c r="P64" i="87"/>
  <c r="R22" i="87"/>
  <c r="S47" i="87"/>
  <c r="P37" i="87"/>
  <c r="S54" i="87"/>
  <c r="P44" i="87"/>
  <c r="P36" i="87"/>
  <c r="Q37" i="87"/>
  <c r="T37" i="87" s="1"/>
  <c r="P10" i="87"/>
  <c r="F56" i="97" s="1"/>
  <c r="O9" i="87"/>
  <c r="E55" i="97" s="1"/>
  <c r="P12" i="87"/>
  <c r="R53" i="87"/>
  <c r="R37" i="87"/>
  <c r="R33" i="87"/>
  <c r="S37" i="87"/>
  <c r="S33" i="87"/>
  <c r="S6" i="87"/>
  <c r="I52" i="97" s="1"/>
  <c r="R20" i="87"/>
  <c r="S20" i="87"/>
  <c r="R8" i="87"/>
  <c r="H54" i="97" s="1"/>
  <c r="P48" i="87"/>
  <c r="O38" i="87"/>
  <c r="P52" i="87"/>
  <c r="P23" i="87"/>
  <c r="S8" i="87"/>
  <c r="I54" i="97" s="1"/>
  <c r="R57" i="87"/>
  <c r="Q23" i="87"/>
  <c r="T23" i="87" s="1"/>
  <c r="P40" i="87"/>
  <c r="R6" i="87"/>
  <c r="H52" i="97" s="1"/>
  <c r="R23" i="87"/>
  <c r="Q6" i="85"/>
  <c r="Q2" i="85"/>
  <c r="O76" i="85"/>
  <c r="P76" i="85"/>
  <c r="S2" i="85"/>
  <c r="I34" i="97" s="1"/>
  <c r="S24" i="85"/>
  <c r="P66" i="85"/>
  <c r="P74" i="85"/>
  <c r="P40" i="85"/>
  <c r="O41" i="85"/>
  <c r="S13" i="85"/>
  <c r="P63" i="85"/>
  <c r="O52" i="85"/>
  <c r="Q67" i="85"/>
  <c r="T67" i="85" s="1"/>
  <c r="P4" i="85"/>
  <c r="F36" i="97" s="1"/>
  <c r="S9" i="85"/>
  <c r="I41" i="97" s="1"/>
  <c r="R68" i="85"/>
  <c r="R55" i="85"/>
  <c r="R29" i="85"/>
  <c r="O13" i="85"/>
  <c r="P41" i="85"/>
  <c r="R63" i="85"/>
  <c r="P52" i="85"/>
  <c r="Q4" i="85"/>
  <c r="S68" i="85"/>
  <c r="S55" i="85"/>
  <c r="P27" i="85"/>
  <c r="O2" i="85"/>
  <c r="E34" i="97" s="1"/>
  <c r="P51" i="85"/>
  <c r="P6" i="85"/>
  <c r="F38" i="97" s="1"/>
  <c r="P2" i="85"/>
  <c r="F34" i="97" s="1"/>
  <c r="P47" i="85"/>
  <c r="S15" i="85"/>
  <c r="R47" i="85"/>
  <c r="P75" i="85"/>
  <c r="R30" i="85"/>
  <c r="R13" i="85"/>
  <c r="Q41" i="85"/>
  <c r="T41" i="85" s="1"/>
  <c r="P14" i="85"/>
  <c r="S63" i="85"/>
  <c r="Q52" i="85"/>
  <c r="T52" i="85" s="1"/>
  <c r="R4" i="85"/>
  <c r="H36" i="97" s="1"/>
  <c r="P8" i="85"/>
  <c r="F40" i="97" s="1"/>
  <c r="Q37" i="85"/>
  <c r="T37" i="85" s="1"/>
  <c r="S39" i="85"/>
  <c r="P43" i="85"/>
  <c r="S30" i="85"/>
  <c r="Q47" i="85"/>
  <c r="T47" i="85" s="1"/>
  <c r="Q30" i="85"/>
  <c r="T30" i="85" s="1"/>
  <c r="O66" i="85"/>
  <c r="O40" i="85"/>
  <c r="R57" i="85"/>
  <c r="R14" i="85"/>
  <c r="O42" i="85"/>
  <c r="P61" i="85"/>
  <c r="S37" i="85"/>
  <c r="O38" i="85"/>
  <c r="O57" i="85"/>
  <c r="P57" i="85"/>
  <c r="Q74" i="85"/>
  <c r="T74" i="85" s="1"/>
  <c r="P69" i="85"/>
  <c r="P30" i="85"/>
  <c r="R24" i="85"/>
  <c r="Q16" i="85"/>
  <c r="T16" i="85" s="1"/>
  <c r="S47" i="85"/>
  <c r="R75" i="85"/>
  <c r="Q43" i="85"/>
  <c r="T43" i="85" s="1"/>
  <c r="P53" i="85"/>
  <c r="Q66" i="85"/>
  <c r="T66" i="85" s="1"/>
  <c r="S16" i="85"/>
  <c r="S75" i="85"/>
  <c r="S57" i="85"/>
  <c r="R53" i="85"/>
  <c r="P13" i="85"/>
  <c r="Q58" i="85"/>
  <c r="T58" i="85" s="1"/>
  <c r="R74" i="85"/>
  <c r="P9" i="85"/>
  <c r="F41" i="97" s="1"/>
  <c r="O68" i="85"/>
  <c r="Q21" i="85"/>
  <c r="T21" i="85" s="1"/>
  <c r="P25" i="85"/>
  <c r="R27" i="85"/>
  <c r="Q51" i="85"/>
  <c r="T51" i="85" s="1"/>
  <c r="R15" i="85"/>
  <c r="S27" i="85"/>
  <c r="R6" i="85"/>
  <c r="H38" i="97" s="1"/>
  <c r="R69" i="85"/>
  <c r="O74" i="85"/>
  <c r="P58" i="85"/>
  <c r="R43" i="85"/>
  <c r="Q40" i="85"/>
  <c r="T40" i="85" s="1"/>
  <c r="P21" i="85"/>
  <c r="O25" i="85"/>
  <c r="S53" i="85"/>
  <c r="R58" i="85"/>
  <c r="O67" i="85"/>
  <c r="Q9" i="85"/>
  <c r="R65" i="85"/>
  <c r="P68" i="85"/>
  <c r="R21" i="85"/>
  <c r="Q25" i="85"/>
  <c r="T25" i="85" s="1"/>
  <c r="P29" i="85"/>
  <c r="R51" i="85"/>
  <c r="Q69" i="85"/>
  <c r="T69" i="85" s="1"/>
  <c r="P16" i="85"/>
  <c r="S6" i="85"/>
  <c r="I38" i="97" s="1"/>
  <c r="Q76" i="85"/>
  <c r="T76" i="85" s="1"/>
  <c r="R16" i="85"/>
  <c r="R9" i="85"/>
  <c r="H41" i="97" s="1"/>
  <c r="O56" i="81"/>
  <c r="O68" i="81"/>
  <c r="O33" i="81"/>
  <c r="O19" i="81"/>
  <c r="O34" i="81"/>
  <c r="O57" i="81"/>
  <c r="O44" i="81"/>
  <c r="R7" i="81"/>
  <c r="P3" i="81"/>
  <c r="R5" i="81"/>
  <c r="P16" i="81"/>
  <c r="R21" i="81"/>
  <c r="P33" i="81"/>
  <c r="R39" i="81"/>
  <c r="P19" i="81"/>
  <c r="R41" i="81"/>
  <c r="P34" i="81"/>
  <c r="R53" i="81"/>
  <c r="P57" i="81"/>
  <c r="R48" i="81"/>
  <c r="P44" i="81"/>
  <c r="R42" i="81"/>
  <c r="P56" i="81"/>
  <c r="R62" i="81"/>
  <c r="P68" i="81"/>
  <c r="R74" i="81"/>
  <c r="Q19" i="81"/>
  <c r="T19" i="81" s="1"/>
  <c r="Q56" i="81"/>
  <c r="T56" i="81" s="1"/>
  <c r="R3" i="81"/>
  <c r="R33" i="81"/>
  <c r="R57" i="81"/>
  <c r="R44" i="81"/>
  <c r="R56" i="81"/>
  <c r="R68" i="81"/>
  <c r="Q34" i="81"/>
  <c r="T34" i="81" s="1"/>
  <c r="Q57" i="81"/>
  <c r="T57" i="81" s="1"/>
  <c r="R16" i="81"/>
  <c r="R19" i="81"/>
  <c r="R34" i="81"/>
  <c r="O14" i="81"/>
  <c r="S3" i="81"/>
  <c r="Q2" i="81"/>
  <c r="T2" i="81" s="1"/>
  <c r="O12" i="81"/>
  <c r="S16" i="81"/>
  <c r="Q8" i="81"/>
  <c r="T8" i="81" s="1"/>
  <c r="O30" i="81"/>
  <c r="S33" i="81"/>
  <c r="Q51" i="81"/>
  <c r="T51" i="81" s="1"/>
  <c r="O32" i="81"/>
  <c r="Q22" i="81"/>
  <c r="T22" i="81" s="1"/>
  <c r="O35" i="81"/>
  <c r="Q38" i="81"/>
  <c r="T38" i="81" s="1"/>
  <c r="O45" i="81"/>
  <c r="Q43" i="81"/>
  <c r="T43" i="81" s="1"/>
  <c r="O46" i="81"/>
  <c r="S44" i="81"/>
  <c r="Q64" i="81"/>
  <c r="T64" i="81" s="1"/>
  <c r="O63" i="81"/>
  <c r="Q58" i="81"/>
  <c r="T58" i="81" s="1"/>
  <c r="O73" i="81"/>
  <c r="S68" i="81"/>
  <c r="Q71" i="81"/>
  <c r="T71" i="81" s="1"/>
  <c r="O76" i="81"/>
  <c r="O3" i="81"/>
  <c r="Q16" i="81"/>
  <c r="T16" i="81" s="1"/>
  <c r="Q14" i="81"/>
  <c r="T14" i="81" s="1"/>
  <c r="O20" i="81"/>
  <c r="Q12" i="81"/>
  <c r="T12" i="81" s="1"/>
  <c r="O31" i="81"/>
  <c r="Q30" i="81"/>
  <c r="T30" i="81" s="1"/>
  <c r="O17" i="81"/>
  <c r="Q32" i="81"/>
  <c r="T32" i="81" s="1"/>
  <c r="O13" i="81"/>
  <c r="Q35" i="81"/>
  <c r="T35" i="81" s="1"/>
  <c r="O47" i="81"/>
  <c r="Q45" i="81"/>
  <c r="T45" i="81" s="1"/>
  <c r="O29" i="81"/>
  <c r="Q46" i="81"/>
  <c r="T46" i="81" s="1"/>
  <c r="O52" i="81"/>
  <c r="Q63" i="81"/>
  <c r="T63" i="81" s="1"/>
  <c r="O66" i="81"/>
  <c r="Q73" i="81"/>
  <c r="T73" i="81" s="1"/>
  <c r="O70" i="81"/>
  <c r="Q76" i="81"/>
  <c r="T76" i="81" s="1"/>
  <c r="P13" i="81"/>
  <c r="P47" i="81"/>
  <c r="P29" i="81"/>
  <c r="P52" i="81"/>
  <c r="P66" i="81"/>
  <c r="P70" i="81"/>
  <c r="O4" i="81"/>
  <c r="O6" i="81"/>
  <c r="O23" i="81"/>
  <c r="O28" i="81"/>
  <c r="O37" i="81"/>
  <c r="O55" i="81"/>
  <c r="O59" i="81"/>
  <c r="O67" i="81"/>
  <c r="O65" i="81"/>
  <c r="O10" i="81"/>
  <c r="P4" i="81"/>
  <c r="P23" i="81"/>
  <c r="P28" i="81"/>
  <c r="P37" i="81"/>
  <c r="P55" i="81"/>
  <c r="P59" i="81"/>
  <c r="P67" i="81"/>
  <c r="P65" i="81"/>
  <c r="P10" i="81"/>
  <c r="Q4" i="81"/>
  <c r="T4" i="81" s="1"/>
  <c r="O15" i="81"/>
  <c r="Q28" i="81"/>
  <c r="T28" i="81" s="1"/>
  <c r="O11" i="81"/>
  <c r="Q55" i="81"/>
  <c r="T55" i="81" s="1"/>
  <c r="O50" i="81"/>
  <c r="Q67" i="81"/>
  <c r="T67" i="81" s="1"/>
  <c r="O54" i="81"/>
  <c r="Q65" i="81"/>
  <c r="T65" i="81" s="1"/>
  <c r="O75" i="81"/>
  <c r="Q10" i="81"/>
  <c r="T10" i="81" s="1"/>
  <c r="P6" i="81"/>
  <c r="Q23" i="81"/>
  <c r="T23" i="81" s="1"/>
  <c r="O9" i="81"/>
  <c r="R4" i="81"/>
  <c r="P15" i="81"/>
  <c r="R6" i="81"/>
  <c r="P18" i="81"/>
  <c r="R23" i="81"/>
  <c r="P9" i="81"/>
  <c r="R28" i="81"/>
  <c r="P11" i="81"/>
  <c r="R37" i="81"/>
  <c r="P36" i="81"/>
  <c r="R55" i="81"/>
  <c r="P50" i="81"/>
  <c r="R59" i="81"/>
  <c r="P24" i="81"/>
  <c r="R67" i="81"/>
  <c r="P54" i="81"/>
  <c r="R65" i="81"/>
  <c r="P75" i="81"/>
  <c r="R10" i="81"/>
  <c r="Q6" i="81"/>
  <c r="T6" i="81" s="1"/>
  <c r="O18" i="81"/>
  <c r="Q37" i="81"/>
  <c r="T37" i="81" s="1"/>
  <c r="O36" i="81"/>
  <c r="Q59" i="81"/>
  <c r="T59" i="81" s="1"/>
  <c r="O69" i="83"/>
  <c r="O31" i="83"/>
  <c r="P69" i="83"/>
  <c r="P53" i="83"/>
  <c r="P21" i="83"/>
  <c r="O16" i="83"/>
  <c r="P16" i="83"/>
  <c r="P18" i="83"/>
  <c r="P31" i="83"/>
  <c r="S60" i="83"/>
  <c r="Q72" i="83"/>
  <c r="T72" i="83" s="1"/>
  <c r="O61" i="83"/>
  <c r="S76" i="83"/>
  <c r="Q16" i="83"/>
  <c r="T16" i="83" s="1"/>
  <c r="O57" i="83"/>
  <c r="S19" i="83"/>
  <c r="Q69" i="83"/>
  <c r="T69" i="83" s="1"/>
  <c r="O20" i="83"/>
  <c r="S71" i="83"/>
  <c r="Q53" i="83"/>
  <c r="T53" i="83" s="1"/>
  <c r="O59" i="83"/>
  <c r="S58" i="83"/>
  <c r="Q18" i="83"/>
  <c r="T18" i="83" s="1"/>
  <c r="O15" i="83"/>
  <c r="S7" i="83"/>
  <c r="I109" i="97" s="1"/>
  <c r="Q12" i="83"/>
  <c r="T12" i="83" s="1"/>
  <c r="O22" i="83"/>
  <c r="S35" i="83"/>
  <c r="Q21" i="83"/>
  <c r="T21" i="83" s="1"/>
  <c r="O74" i="83"/>
  <c r="S45" i="83"/>
  <c r="Q31" i="83"/>
  <c r="T31" i="83" s="1"/>
  <c r="O30" i="83"/>
  <c r="S41" i="83"/>
  <c r="Q23" i="83"/>
  <c r="T23" i="83" s="1"/>
  <c r="O33" i="83"/>
  <c r="S25" i="83"/>
  <c r="O72" i="83"/>
  <c r="O53" i="83"/>
  <c r="O12" i="83"/>
  <c r="P72" i="83"/>
  <c r="P12" i="83"/>
  <c r="P23" i="83"/>
  <c r="R72" i="83"/>
  <c r="P61" i="83"/>
  <c r="R16" i="83"/>
  <c r="P57" i="83"/>
  <c r="R69" i="83"/>
  <c r="P20" i="83"/>
  <c r="R53" i="83"/>
  <c r="P59" i="83"/>
  <c r="R18" i="83"/>
  <c r="P15" i="83"/>
  <c r="R12" i="83"/>
  <c r="P22" i="83"/>
  <c r="R21" i="83"/>
  <c r="P74" i="83"/>
  <c r="R31" i="83"/>
  <c r="P30" i="83"/>
  <c r="R23" i="83"/>
  <c r="P33" i="83"/>
  <c r="O23" i="83"/>
  <c r="Q20" i="83"/>
  <c r="T20" i="83" s="1"/>
  <c r="Q22" i="83"/>
  <c r="T22" i="83" s="1"/>
  <c r="O18" i="83"/>
  <c r="Q57" i="83"/>
  <c r="T57" i="83" s="1"/>
  <c r="Q15" i="83"/>
  <c r="T15" i="83" s="1"/>
  <c r="Q30" i="83"/>
  <c r="T30" i="83" s="1"/>
  <c r="Q33" i="83"/>
  <c r="T33" i="83" s="1"/>
  <c r="P68" i="83"/>
  <c r="R61" i="83"/>
  <c r="P11" i="83"/>
  <c r="F113" i="97" s="1"/>
  <c r="R57" i="83"/>
  <c r="P70" i="83"/>
  <c r="R20" i="83"/>
  <c r="P49" i="83"/>
  <c r="R59" i="83"/>
  <c r="P55" i="83"/>
  <c r="R15" i="83"/>
  <c r="P48" i="83"/>
  <c r="R22" i="83"/>
  <c r="P50" i="83"/>
  <c r="R74" i="83"/>
  <c r="P36" i="83"/>
  <c r="R30" i="83"/>
  <c r="P37" i="83"/>
  <c r="R33" i="83"/>
  <c r="P29" i="83"/>
  <c r="O21" i="83"/>
  <c r="Q61" i="83"/>
  <c r="T61" i="83" s="1"/>
  <c r="Q59" i="83"/>
  <c r="T59" i="83" s="1"/>
  <c r="Q74" i="83"/>
  <c r="T74" i="83" s="1"/>
  <c r="O10" i="83"/>
  <c r="E112" i="97" s="1"/>
  <c r="O34" i="83"/>
  <c r="O28" i="83"/>
  <c r="O46" i="83"/>
  <c r="O52" i="83"/>
  <c r="P17" i="83"/>
  <c r="P10" i="83"/>
  <c r="F112" i="97" s="1"/>
  <c r="P34" i="83"/>
  <c r="P28" i="83"/>
  <c r="O5" i="83"/>
  <c r="E107" i="97" s="1"/>
  <c r="O17" i="83"/>
  <c r="P67" i="83"/>
  <c r="Q5" i="83"/>
  <c r="O64" i="83"/>
  <c r="Q10" i="83"/>
  <c r="Q28" i="83"/>
  <c r="T28" i="83" s="1"/>
  <c r="O27" i="83"/>
  <c r="O65" i="83"/>
  <c r="Q65" i="83"/>
  <c r="T65" i="83" s="1"/>
  <c r="P54" i="83"/>
  <c r="R65" i="83"/>
  <c r="P75" i="83"/>
  <c r="R67" i="83"/>
  <c r="P6" i="83"/>
  <c r="F108" i="97" s="1"/>
  <c r="R5" i="83"/>
  <c r="H107" i="97" s="1"/>
  <c r="P64" i="83"/>
  <c r="R46" i="83"/>
  <c r="P2" i="83"/>
  <c r="F104" i="97" s="1"/>
  <c r="R17" i="83"/>
  <c r="P56" i="83"/>
  <c r="R52" i="83"/>
  <c r="P13" i="83"/>
  <c r="R10" i="83"/>
  <c r="H112" i="97" s="1"/>
  <c r="P14" i="83"/>
  <c r="R34" i="83"/>
  <c r="P40" i="83"/>
  <c r="R28" i="83"/>
  <c r="P27" i="83"/>
  <c r="P5" i="83"/>
  <c r="F107" i="97" s="1"/>
  <c r="P52" i="83"/>
  <c r="O54" i="83"/>
  <c r="Q46" i="83"/>
  <c r="T46" i="83" s="1"/>
  <c r="O2" i="83"/>
  <c r="E104" i="97" s="1"/>
  <c r="Q17" i="83"/>
  <c r="T17" i="83" s="1"/>
  <c r="O40" i="83"/>
  <c r="Q54" i="83"/>
  <c r="T54" i="83" s="1"/>
  <c r="O3" i="83"/>
  <c r="E105" i="97" s="1"/>
  <c r="S65" i="83"/>
  <c r="Q75" i="83"/>
  <c r="T75" i="83" s="1"/>
  <c r="O63" i="83"/>
  <c r="S67" i="83"/>
  <c r="Q6" i="83"/>
  <c r="O66" i="83"/>
  <c r="Q64" i="83"/>
  <c r="T64" i="83" s="1"/>
  <c r="O32" i="83"/>
  <c r="S46" i="83"/>
  <c r="Q2" i="83"/>
  <c r="O8" i="83"/>
  <c r="E110" i="97" s="1"/>
  <c r="Q56" i="83"/>
  <c r="T56" i="83" s="1"/>
  <c r="O44" i="83"/>
  <c r="S52" i="83"/>
  <c r="Q13" i="83"/>
  <c r="T13" i="83" s="1"/>
  <c r="O43" i="83"/>
  <c r="Q14" i="83"/>
  <c r="T14" i="83" s="1"/>
  <c r="O47" i="83"/>
  <c r="S34" i="83"/>
  <c r="Q40" i="83"/>
  <c r="T40" i="83" s="1"/>
  <c r="O24" i="83"/>
  <c r="Q27" i="83"/>
  <c r="T27" i="83" s="1"/>
  <c r="O75" i="83"/>
  <c r="O56" i="83"/>
  <c r="R54" i="83"/>
  <c r="P3" i="83"/>
  <c r="F105" i="97" s="1"/>
  <c r="R75" i="83"/>
  <c r="P63" i="83"/>
  <c r="R6" i="83"/>
  <c r="H108" i="97" s="1"/>
  <c r="P66" i="83"/>
  <c r="R64" i="83"/>
  <c r="P32" i="83"/>
  <c r="R2" i="83"/>
  <c r="H104" i="97" s="1"/>
  <c r="P8" i="83"/>
  <c r="F110" i="97" s="1"/>
  <c r="R56" i="83"/>
  <c r="P44" i="83"/>
  <c r="R13" i="83"/>
  <c r="P43" i="83"/>
  <c r="R14" i="83"/>
  <c r="P47" i="83"/>
  <c r="R40" i="83"/>
  <c r="P24" i="83"/>
  <c r="R27" i="83"/>
  <c r="O67" i="83"/>
  <c r="O6" i="83"/>
  <c r="E108" i="97" s="1"/>
  <c r="O13" i="83"/>
  <c r="O14" i="83"/>
  <c r="Q59" i="79"/>
  <c r="T59" i="79" s="1"/>
  <c r="O68" i="79"/>
  <c r="Q4" i="79"/>
  <c r="O32" i="79"/>
  <c r="Q6" i="79"/>
  <c r="O33" i="79"/>
  <c r="Q24" i="79"/>
  <c r="T24" i="79" s="1"/>
  <c r="O75" i="79"/>
  <c r="Q74" i="79"/>
  <c r="T74" i="79" s="1"/>
  <c r="O7" i="79"/>
  <c r="Q66" i="79"/>
  <c r="T66" i="79" s="1"/>
  <c r="O43" i="79"/>
  <c r="Q64" i="79"/>
  <c r="T64" i="79" s="1"/>
  <c r="O54" i="79"/>
  <c r="Q22" i="79"/>
  <c r="T22" i="79" s="1"/>
  <c r="O65" i="79"/>
  <c r="Q62" i="79"/>
  <c r="T62" i="79" s="1"/>
  <c r="O57" i="79"/>
  <c r="Q49" i="79"/>
  <c r="T49" i="79" s="1"/>
  <c r="R59" i="79"/>
  <c r="P68" i="79"/>
  <c r="R4" i="79"/>
  <c r="P32" i="79"/>
  <c r="R6" i="79"/>
  <c r="P33" i="79"/>
  <c r="R24" i="79"/>
  <c r="P75" i="79"/>
  <c r="R74" i="79"/>
  <c r="P7" i="79"/>
  <c r="R66" i="79"/>
  <c r="P43" i="79"/>
  <c r="R64" i="79"/>
  <c r="P54" i="79"/>
  <c r="R22" i="79"/>
  <c r="P65" i="79"/>
  <c r="R62" i="79"/>
  <c r="P57" i="79"/>
  <c r="R49" i="79"/>
  <c r="Q32" i="79"/>
  <c r="T32" i="79" s="1"/>
  <c r="S74" i="79"/>
  <c r="R68" i="79"/>
  <c r="P27" i="79"/>
  <c r="R32" i="79"/>
  <c r="P71" i="79"/>
  <c r="R33" i="79"/>
  <c r="P26" i="79"/>
  <c r="R75" i="79"/>
  <c r="P9" i="79"/>
  <c r="R7" i="79"/>
  <c r="P34" i="79"/>
  <c r="R43" i="79"/>
  <c r="P10" i="79"/>
  <c r="R54" i="79"/>
  <c r="P40" i="79"/>
  <c r="R65" i="79"/>
  <c r="P51" i="79"/>
  <c r="R57" i="79"/>
  <c r="P42" i="79"/>
  <c r="P59" i="79"/>
  <c r="S59" i="79"/>
  <c r="Q68" i="79"/>
  <c r="T68" i="79" s="1"/>
  <c r="S4" i="79"/>
  <c r="S24" i="79"/>
  <c r="Q75" i="79"/>
  <c r="T75" i="79" s="1"/>
  <c r="S66" i="79"/>
  <c r="Q43" i="79"/>
  <c r="T43" i="79" s="1"/>
  <c r="Q54" i="79"/>
  <c r="T54" i="79" s="1"/>
  <c r="O8" i="79"/>
  <c r="Q27" i="79"/>
  <c r="T27" i="79" s="1"/>
  <c r="O17" i="79"/>
  <c r="Q71" i="79"/>
  <c r="T71" i="79" s="1"/>
  <c r="O15" i="79"/>
  <c r="S33" i="79"/>
  <c r="Q26" i="79"/>
  <c r="T26" i="79" s="1"/>
  <c r="O19" i="79"/>
  <c r="Q9" i="79"/>
  <c r="O36" i="79"/>
  <c r="S7" i="79"/>
  <c r="Q34" i="79"/>
  <c r="T34" i="79" s="1"/>
  <c r="O61" i="79"/>
  <c r="Q10" i="79"/>
  <c r="O14" i="79"/>
  <c r="Q40" i="79"/>
  <c r="T40" i="79" s="1"/>
  <c r="O39" i="79"/>
  <c r="S65" i="79"/>
  <c r="Q51" i="79"/>
  <c r="T51" i="79" s="1"/>
  <c r="O38" i="79"/>
  <c r="S57" i="79"/>
  <c r="Q42" i="79"/>
  <c r="T42" i="79" s="1"/>
  <c r="O48" i="79"/>
  <c r="P8" i="79"/>
  <c r="R27" i="79"/>
  <c r="P17" i="79"/>
  <c r="R71" i="79"/>
  <c r="P15" i="79"/>
  <c r="R26" i="79"/>
  <c r="P19" i="79"/>
  <c r="R9" i="79"/>
  <c r="P36" i="79"/>
  <c r="R34" i="79"/>
  <c r="P61" i="79"/>
  <c r="R10" i="79"/>
  <c r="P14" i="79"/>
  <c r="R40" i="79"/>
  <c r="P39" i="79"/>
  <c r="R51" i="79"/>
  <c r="P38" i="79"/>
  <c r="R42" i="79"/>
  <c r="P48" i="79"/>
  <c r="S6" i="79"/>
  <c r="Q48" i="79"/>
  <c r="T48" i="79" s="1"/>
  <c r="Q62" i="84"/>
  <c r="T62" i="84" s="1"/>
  <c r="O17" i="84"/>
  <c r="S7" i="84"/>
  <c r="I81" i="97" s="1"/>
  <c r="Q69" i="84"/>
  <c r="T69" i="84" s="1"/>
  <c r="O13" i="84"/>
  <c r="S5" i="84"/>
  <c r="I79" i="97" s="1"/>
  <c r="Q18" i="84"/>
  <c r="T18" i="84" s="1"/>
  <c r="O56" i="84"/>
  <c r="S10" i="84"/>
  <c r="I84" i="97" s="1"/>
  <c r="Q45" i="84"/>
  <c r="T45" i="84" s="1"/>
  <c r="O70" i="84"/>
  <c r="S24" i="84"/>
  <c r="Q64" i="84"/>
  <c r="T64" i="84" s="1"/>
  <c r="O46" i="84"/>
  <c r="S32" i="84"/>
  <c r="Q55" i="84"/>
  <c r="T55" i="84" s="1"/>
  <c r="O21" i="84"/>
  <c r="S73" i="84"/>
  <c r="Q25" i="84"/>
  <c r="T25" i="84" s="1"/>
  <c r="O34" i="84"/>
  <c r="S50" i="84"/>
  <c r="Q58" i="84"/>
  <c r="T58" i="84" s="1"/>
  <c r="O42" i="84"/>
  <c r="S49" i="84"/>
  <c r="Q37" i="84"/>
  <c r="T37" i="84" s="1"/>
  <c r="O35" i="84"/>
  <c r="S12" i="84"/>
  <c r="I85" i="97" s="1"/>
  <c r="Q68" i="84"/>
  <c r="T68" i="84" s="1"/>
  <c r="R62" i="84"/>
  <c r="P17" i="84"/>
  <c r="R69" i="84"/>
  <c r="P13" i="84"/>
  <c r="R18" i="84"/>
  <c r="P56" i="84"/>
  <c r="R45" i="84"/>
  <c r="P70" i="84"/>
  <c r="R64" i="84"/>
  <c r="P46" i="84"/>
  <c r="R55" i="84"/>
  <c r="P21" i="84"/>
  <c r="R25" i="84"/>
  <c r="P34" i="84"/>
  <c r="R58" i="84"/>
  <c r="P42" i="84"/>
  <c r="R37" i="84"/>
  <c r="P35" i="84"/>
  <c r="R68" i="84"/>
  <c r="Q66" i="84"/>
  <c r="T66" i="84" s="1"/>
  <c r="S59" i="84"/>
  <c r="S8" i="84"/>
  <c r="I82" i="97" s="1"/>
  <c r="S69" i="84"/>
  <c r="S18" i="84"/>
  <c r="Q56" i="84"/>
  <c r="T56" i="84" s="1"/>
  <c r="S45" i="84"/>
  <c r="Q70" i="84"/>
  <c r="T70" i="84" s="1"/>
  <c r="S64" i="84"/>
  <c r="Q46" i="84"/>
  <c r="T46" i="84" s="1"/>
  <c r="S55" i="84"/>
  <c r="Q21" i="84"/>
  <c r="T21" i="84" s="1"/>
  <c r="S25" i="84"/>
  <c r="Q34" i="84"/>
  <c r="T34" i="84" s="1"/>
  <c r="S58" i="84"/>
  <c r="Q42" i="84"/>
  <c r="T42" i="84" s="1"/>
  <c r="S37" i="84"/>
  <c r="Q35" i="84"/>
  <c r="T35" i="84" s="1"/>
  <c r="S68" i="84"/>
  <c r="Q16" i="84"/>
  <c r="T16" i="84" s="1"/>
  <c r="S16" i="84"/>
  <c r="S4" i="84"/>
  <c r="I78" i="97" s="1"/>
  <c r="S62" i="84"/>
  <c r="Q13" i="84"/>
  <c r="T13" i="84" s="1"/>
  <c r="R17" i="84"/>
  <c r="R70" i="84"/>
  <c r="R46" i="84"/>
  <c r="R42" i="84"/>
  <c r="R35" i="84"/>
  <c r="R34" i="84"/>
  <c r="O72" i="84"/>
  <c r="S17" i="84"/>
  <c r="Q51" i="84"/>
  <c r="T51" i="84" s="1"/>
  <c r="O53" i="84"/>
  <c r="S13" i="84"/>
  <c r="Q65" i="84"/>
  <c r="T65" i="84" s="1"/>
  <c r="O36" i="84"/>
  <c r="S56" i="84"/>
  <c r="Q22" i="84"/>
  <c r="T22" i="84" s="1"/>
  <c r="O75" i="84"/>
  <c r="Q3" i="84"/>
  <c r="O28" i="84"/>
  <c r="Q20" i="84"/>
  <c r="T20" i="84" s="1"/>
  <c r="O48" i="84"/>
  <c r="S21" i="84"/>
  <c r="Q14" i="84"/>
  <c r="T14" i="84" s="1"/>
  <c r="O54" i="84"/>
  <c r="Q74" i="84"/>
  <c r="T74" i="84" s="1"/>
  <c r="O67" i="84"/>
  <c r="Q19" i="84"/>
  <c r="T19" i="84" s="1"/>
  <c r="O38" i="84"/>
  <c r="Q43" i="84"/>
  <c r="T43" i="84" s="1"/>
  <c r="O2" i="84"/>
  <c r="E76" i="97" s="1"/>
  <c r="O26" i="84"/>
  <c r="O4" i="84"/>
  <c r="E78" i="97" s="1"/>
  <c r="O31" i="84"/>
  <c r="O44" i="84"/>
  <c r="O15" i="84"/>
  <c r="O16" i="84"/>
  <c r="O59" i="84"/>
  <c r="O66" i="84"/>
  <c r="O8" i="84"/>
  <c r="E82" i="97" s="1"/>
  <c r="P16" i="84"/>
  <c r="P59" i="84"/>
  <c r="P66" i="84"/>
  <c r="P8" i="84"/>
  <c r="F82" i="97" s="1"/>
  <c r="P26" i="84"/>
  <c r="P4" i="84"/>
  <c r="F78" i="97" s="1"/>
  <c r="P31" i="84"/>
  <c r="P44" i="84"/>
  <c r="P15" i="84"/>
  <c r="Q31" i="84"/>
  <c r="T31" i="84" s="1"/>
  <c r="Q8" i="84"/>
  <c r="Q26" i="84"/>
  <c r="T26" i="84" s="1"/>
  <c r="Q4" i="84"/>
  <c r="Q44" i="84"/>
  <c r="T44" i="84" s="1"/>
  <c r="Q15" i="84"/>
  <c r="T15" i="84" s="1"/>
  <c r="P52" i="84"/>
  <c r="P71" i="84"/>
  <c r="R59" i="84"/>
  <c r="P29" i="84"/>
  <c r="R66" i="84"/>
  <c r="P60" i="84"/>
  <c r="P57" i="84"/>
  <c r="R26" i="84"/>
  <c r="P61" i="84"/>
  <c r="P76" i="84"/>
  <c r="R31" i="84"/>
  <c r="P39" i="84"/>
  <c r="R44" i="84"/>
  <c r="P33" i="84"/>
  <c r="R15" i="84"/>
  <c r="P11" i="84"/>
  <c r="R52" i="84"/>
  <c r="R29" i="84"/>
  <c r="R60" i="84"/>
  <c r="R61" i="84"/>
  <c r="R76" i="84"/>
  <c r="R39" i="84"/>
  <c r="R11" i="84"/>
  <c r="R71" i="84"/>
  <c r="R57" i="84"/>
  <c r="O5" i="86"/>
  <c r="E66" i="97" s="1"/>
  <c r="O45" i="86"/>
  <c r="O44" i="86"/>
  <c r="O53" i="86"/>
  <c r="O55" i="86"/>
  <c r="O67" i="86"/>
  <c r="O47" i="86"/>
  <c r="O51" i="86"/>
  <c r="Q24" i="86"/>
  <c r="T24" i="86" s="1"/>
  <c r="O27" i="86"/>
  <c r="Q51" i="86"/>
  <c r="T51" i="86" s="1"/>
  <c r="O22" i="86"/>
  <c r="E64" i="97" s="1"/>
  <c r="Q45" i="86"/>
  <c r="T45" i="86" s="1"/>
  <c r="O49" i="86"/>
  <c r="E71" i="97" s="1"/>
  <c r="Q67" i="86"/>
  <c r="T67" i="86" s="1"/>
  <c r="O69" i="86"/>
  <c r="P24" i="86"/>
  <c r="P5" i="86"/>
  <c r="F66" i="97" s="1"/>
  <c r="P51" i="86"/>
  <c r="P44" i="86"/>
  <c r="P67" i="86"/>
  <c r="O7" i="86"/>
  <c r="E68" i="97" s="1"/>
  <c r="Q44" i="86"/>
  <c r="T44" i="86" s="1"/>
  <c r="O50" i="86"/>
  <c r="Q53" i="86"/>
  <c r="T53" i="86" s="1"/>
  <c r="O63" i="86"/>
  <c r="R24" i="86"/>
  <c r="P27" i="86"/>
  <c r="R47" i="86"/>
  <c r="P17" i="86"/>
  <c r="R5" i="86"/>
  <c r="H66" i="97" s="1"/>
  <c r="P7" i="86"/>
  <c r="F68" i="97" s="1"/>
  <c r="R51" i="86"/>
  <c r="P22" i="86"/>
  <c r="F64" i="97" s="1"/>
  <c r="R45" i="86"/>
  <c r="P49" i="86"/>
  <c r="F71" i="97" s="1"/>
  <c r="R44" i="86"/>
  <c r="P50" i="86"/>
  <c r="R53" i="86"/>
  <c r="P43" i="86"/>
  <c r="R55" i="86"/>
  <c r="P63" i="86"/>
  <c r="R67" i="86"/>
  <c r="P69" i="86"/>
  <c r="O24" i="86"/>
  <c r="P47" i="86"/>
  <c r="P45" i="86"/>
  <c r="P53" i="86"/>
  <c r="P55" i="86"/>
  <c r="Q47" i="86"/>
  <c r="T47" i="86" s="1"/>
  <c r="O17" i="86"/>
  <c r="Q5" i="86"/>
  <c r="O43" i="86"/>
  <c r="Q55" i="86"/>
  <c r="T55" i="86" s="1"/>
  <c r="Q22" i="86"/>
  <c r="Q49" i="86"/>
  <c r="Q50" i="86"/>
  <c r="T50" i="86" s="1"/>
  <c r="Q43" i="86"/>
  <c r="T43" i="86" s="1"/>
  <c r="Q63" i="86"/>
  <c r="T63" i="86" s="1"/>
  <c r="Q69" i="86"/>
  <c r="T69" i="86" s="1"/>
  <c r="P9" i="86"/>
  <c r="P3" i="86"/>
  <c r="F63" i="97" s="1"/>
  <c r="P12" i="86"/>
  <c r="P52" i="86"/>
  <c r="P60" i="86"/>
  <c r="P61" i="86"/>
  <c r="P68" i="86"/>
  <c r="Q9" i="86"/>
  <c r="T9" i="86" s="1"/>
  <c r="P2" i="86"/>
  <c r="F62" i="97" s="1"/>
  <c r="P32" i="86"/>
  <c r="R48" i="86"/>
  <c r="P56" i="86"/>
  <c r="R52" i="86"/>
  <c r="P54" i="86"/>
  <c r="R60" i="86"/>
  <c r="P58" i="86"/>
  <c r="R61" i="86"/>
  <c r="P74" i="86"/>
  <c r="Q12" i="86"/>
  <c r="T12" i="86" s="1"/>
  <c r="O23" i="86"/>
  <c r="O10" i="86"/>
  <c r="S9" i="86"/>
  <c r="Q2" i="86"/>
  <c r="O29" i="86"/>
  <c r="S3" i="86"/>
  <c r="I63" i="97" s="1"/>
  <c r="Q13" i="86"/>
  <c r="T13" i="86" s="1"/>
  <c r="O40" i="86"/>
  <c r="S12" i="86"/>
  <c r="Q23" i="86"/>
  <c r="T23" i="86" s="1"/>
  <c r="O46" i="86"/>
  <c r="S19" i="86"/>
  <c r="Q32" i="86"/>
  <c r="T32" i="86" s="1"/>
  <c r="O28" i="86"/>
  <c r="Q56" i="86"/>
  <c r="T56" i="86" s="1"/>
  <c r="O18" i="86"/>
  <c r="Q54" i="86"/>
  <c r="T54" i="86" s="1"/>
  <c r="O57" i="86"/>
  <c r="Q58" i="86"/>
  <c r="T58" i="86" s="1"/>
  <c r="O66" i="86"/>
  <c r="Q74" i="86"/>
  <c r="T74" i="86" s="1"/>
  <c r="O71" i="86"/>
  <c r="Q72" i="86"/>
  <c r="T72" i="86" s="1"/>
  <c r="O11" i="86"/>
  <c r="P10" i="86"/>
  <c r="R2" i="86"/>
  <c r="H62" i="97" s="1"/>
  <c r="P29" i="86"/>
  <c r="R13" i="86"/>
  <c r="P40" i="86"/>
  <c r="R23" i="86"/>
  <c r="P46" i="86"/>
  <c r="R32" i="86"/>
  <c r="P28" i="86"/>
  <c r="R56" i="86"/>
  <c r="P18" i="86"/>
  <c r="R54" i="86"/>
  <c r="P57" i="86"/>
  <c r="R58" i="86"/>
  <c r="P66" i="86"/>
  <c r="R74" i="86"/>
  <c r="P71" i="86"/>
  <c r="R72" i="86"/>
  <c r="P11" i="86"/>
  <c r="Q3" i="86"/>
  <c r="O13" i="86"/>
  <c r="P13" i="86"/>
  <c r="P23" i="86"/>
  <c r="Q10" i="86"/>
  <c r="T10" i="86" s="1"/>
  <c r="O6" i="86"/>
  <c r="E67" i="97" s="1"/>
  <c r="Q29" i="86"/>
  <c r="T29" i="86" s="1"/>
  <c r="O21" i="86"/>
  <c r="Q40" i="86"/>
  <c r="T40" i="86" s="1"/>
  <c r="O8" i="86"/>
  <c r="E69" i="97" s="1"/>
  <c r="Q46" i="86"/>
  <c r="T46" i="86" s="1"/>
  <c r="O31" i="86"/>
  <c r="Q28" i="86"/>
  <c r="T28" i="86" s="1"/>
  <c r="O30" i="86"/>
  <c r="Q18" i="86"/>
  <c r="T18" i="86" s="1"/>
  <c r="O36" i="86"/>
  <c r="E70" i="97" s="1"/>
  <c r="Q57" i="86"/>
  <c r="T57" i="86" s="1"/>
  <c r="O64" i="86"/>
  <c r="Q66" i="86"/>
  <c r="T66" i="86" s="1"/>
  <c r="O59" i="86"/>
  <c r="Q71" i="86"/>
  <c r="T71" i="86" s="1"/>
  <c r="O70" i="86"/>
  <c r="Q11" i="86"/>
  <c r="T11" i="86" s="1"/>
  <c r="R71" i="86"/>
  <c r="R11" i="86"/>
  <c r="Q5" i="87"/>
  <c r="O67" i="87"/>
  <c r="S76" i="87"/>
  <c r="Q74" i="87"/>
  <c r="T74" i="87" s="1"/>
  <c r="O72" i="87"/>
  <c r="S60" i="87"/>
  <c r="Q71" i="87"/>
  <c r="T71" i="87" s="1"/>
  <c r="O61" i="87"/>
  <c r="S66" i="87"/>
  <c r="Q10" i="87"/>
  <c r="O56" i="87"/>
  <c r="S59" i="87"/>
  <c r="Q48" i="87"/>
  <c r="T48" i="87" s="1"/>
  <c r="O17" i="87"/>
  <c r="S22" i="87"/>
  <c r="Q25" i="87"/>
  <c r="T25" i="87" s="1"/>
  <c r="O29" i="87"/>
  <c r="S53" i="87"/>
  <c r="Q41" i="87"/>
  <c r="T41" i="87" s="1"/>
  <c r="O19" i="87"/>
  <c r="S57" i="87"/>
  <c r="Q42" i="87"/>
  <c r="T42" i="87" s="1"/>
  <c r="O27" i="87"/>
  <c r="S21" i="87"/>
  <c r="Q44" i="87"/>
  <c r="T44" i="87" s="1"/>
  <c r="O35" i="87"/>
  <c r="S31" i="87"/>
  <c r="Q40" i="87"/>
  <c r="T40" i="87" s="1"/>
  <c r="O4" i="87"/>
  <c r="E50" i="97" s="1"/>
  <c r="P3" i="87"/>
  <c r="F49" i="97" s="1"/>
  <c r="R21" i="87"/>
  <c r="R31" i="87"/>
  <c r="R5" i="87"/>
  <c r="H51" i="97" s="1"/>
  <c r="P67" i="87"/>
  <c r="R74" i="87"/>
  <c r="P72" i="87"/>
  <c r="R71" i="87"/>
  <c r="P61" i="87"/>
  <c r="R10" i="87"/>
  <c r="H56" i="97" s="1"/>
  <c r="P56" i="87"/>
  <c r="R48" i="87"/>
  <c r="P17" i="87"/>
  <c r="R25" i="87"/>
  <c r="P29" i="87"/>
  <c r="R41" i="87"/>
  <c r="P19" i="87"/>
  <c r="R42" i="87"/>
  <c r="P27" i="87"/>
  <c r="R44" i="87"/>
  <c r="P35" i="87"/>
  <c r="R40" i="87"/>
  <c r="S5" i="87"/>
  <c r="I51" i="97" s="1"/>
  <c r="Q67" i="87"/>
  <c r="T67" i="87" s="1"/>
  <c r="O69" i="87"/>
  <c r="S74" i="87"/>
  <c r="Q72" i="87"/>
  <c r="T72" i="87" s="1"/>
  <c r="O65" i="87"/>
  <c r="S71" i="87"/>
  <c r="Q61" i="87"/>
  <c r="T61" i="87" s="1"/>
  <c r="O2" i="87"/>
  <c r="E48" i="97" s="1"/>
  <c r="S10" i="87"/>
  <c r="I56" i="97" s="1"/>
  <c r="Q56" i="87"/>
  <c r="T56" i="87" s="1"/>
  <c r="O64" i="87"/>
  <c r="S48" i="87"/>
  <c r="Q17" i="87"/>
  <c r="T17" i="87" s="1"/>
  <c r="O12" i="87"/>
  <c r="S25" i="87"/>
  <c r="Q29" i="87"/>
  <c r="T29" i="87" s="1"/>
  <c r="O52" i="87"/>
  <c r="S41" i="87"/>
  <c r="Q19" i="87"/>
  <c r="T19" i="87" s="1"/>
  <c r="O58" i="87"/>
  <c r="S42" i="87"/>
  <c r="Q27" i="87"/>
  <c r="T27" i="87" s="1"/>
  <c r="O26" i="87"/>
  <c r="S44" i="87"/>
  <c r="Q35" i="87"/>
  <c r="T35" i="87" s="1"/>
  <c r="O30" i="87"/>
  <c r="S40" i="87"/>
  <c r="P14" i="87"/>
  <c r="P38" i="87"/>
  <c r="O75" i="87"/>
  <c r="R67" i="87"/>
  <c r="R17" i="87"/>
  <c r="O14" i="87"/>
  <c r="R56" i="87"/>
  <c r="R27" i="87"/>
  <c r="R35" i="87"/>
  <c r="O18" i="87"/>
  <c r="Q69" i="87"/>
  <c r="T69" i="87" s="1"/>
  <c r="O6" i="87"/>
  <c r="E52" i="97" s="1"/>
  <c r="S72" i="87"/>
  <c r="Q65" i="87"/>
  <c r="T65" i="87" s="1"/>
  <c r="O20" i="87"/>
  <c r="S61" i="87"/>
  <c r="Q2" i="87"/>
  <c r="O8" i="87"/>
  <c r="E54" i="97" s="1"/>
  <c r="Q64" i="87"/>
  <c r="T64" i="87" s="1"/>
  <c r="O24" i="87"/>
  <c r="Q12" i="87"/>
  <c r="T12" i="87" s="1"/>
  <c r="O49" i="87"/>
  <c r="S29" i="87"/>
  <c r="Q52" i="87"/>
  <c r="T52" i="87" s="1"/>
  <c r="O39" i="87"/>
  <c r="S19" i="87"/>
  <c r="Q58" i="87"/>
  <c r="T58" i="87" s="1"/>
  <c r="O54" i="87"/>
  <c r="Q26" i="87"/>
  <c r="T26" i="87" s="1"/>
  <c r="O33" i="87"/>
  <c r="Q30" i="87"/>
  <c r="T30" i="87" s="1"/>
  <c r="O32" i="87"/>
  <c r="P18" i="87"/>
  <c r="R69" i="87"/>
  <c r="P6" i="87"/>
  <c r="F52" i="97" s="1"/>
  <c r="R65" i="87"/>
  <c r="P20" i="87"/>
  <c r="R2" i="87"/>
  <c r="H48" i="97" s="1"/>
  <c r="P8" i="87"/>
  <c r="F54" i="97" s="1"/>
  <c r="R64" i="87"/>
  <c r="P24" i="87"/>
  <c r="R12" i="87"/>
  <c r="P49" i="87"/>
  <c r="R52" i="87"/>
  <c r="P39" i="87"/>
  <c r="R58" i="87"/>
  <c r="P54" i="87"/>
  <c r="R26" i="87"/>
  <c r="P33" i="87"/>
  <c r="R30" i="87"/>
  <c r="P32" i="87"/>
  <c r="O3" i="87"/>
  <c r="E49" i="97" s="1"/>
  <c r="Q32" i="87"/>
  <c r="T32" i="87" s="1"/>
  <c r="Q14" i="87"/>
  <c r="T14" i="87" s="1"/>
  <c r="O68" i="87"/>
  <c r="Q9" i="87"/>
  <c r="O63" i="87"/>
  <c r="Q46" i="87"/>
  <c r="T46" i="87" s="1"/>
  <c r="O55" i="87"/>
  <c r="O34" i="87"/>
  <c r="O51" i="87"/>
  <c r="P4" i="87"/>
  <c r="F50" i="97" s="1"/>
  <c r="Q4" i="87"/>
  <c r="O16" i="87"/>
  <c r="P75" i="87"/>
  <c r="R14" i="87"/>
  <c r="P68" i="87"/>
  <c r="R3" i="87"/>
  <c r="H49" i="97" s="1"/>
  <c r="P13" i="87"/>
  <c r="R4" i="87"/>
  <c r="H50" i="97" s="1"/>
  <c r="P16" i="87"/>
  <c r="R9" i="87"/>
  <c r="H55" i="97" s="1"/>
  <c r="P63" i="87"/>
  <c r="R38" i="87"/>
  <c r="P62" i="87"/>
  <c r="R46" i="87"/>
  <c r="P55" i="87"/>
  <c r="R43" i="87"/>
  <c r="P15" i="87"/>
  <c r="R28" i="87"/>
  <c r="P34" i="87"/>
  <c r="P51" i="87"/>
  <c r="Q3" i="87"/>
  <c r="O13" i="87"/>
  <c r="O76" i="87"/>
  <c r="Q13" i="87"/>
  <c r="T13" i="87" s="1"/>
  <c r="S9" i="87"/>
  <c r="I55" i="97" s="1"/>
  <c r="Q62" i="87"/>
  <c r="T62" i="87" s="1"/>
  <c r="O57" i="87"/>
  <c r="O21" i="87"/>
  <c r="Q51" i="87"/>
  <c r="T51" i="87" s="1"/>
  <c r="Q75" i="87"/>
  <c r="T75" i="87" s="1"/>
  <c r="Q68" i="87"/>
  <c r="T68" i="87" s="1"/>
  <c r="O59" i="87"/>
  <c r="O22" i="87"/>
  <c r="O31" i="87"/>
  <c r="R75" i="87"/>
  <c r="P76" i="87"/>
  <c r="R68" i="87"/>
  <c r="P60" i="87"/>
  <c r="R13" i="87"/>
  <c r="P66" i="87"/>
  <c r="R16" i="87"/>
  <c r="P59" i="87"/>
  <c r="R63" i="87"/>
  <c r="P22" i="87"/>
  <c r="R62" i="87"/>
  <c r="P53" i="87"/>
  <c r="R55" i="87"/>
  <c r="P57" i="87"/>
  <c r="R15" i="87"/>
  <c r="P21" i="87"/>
  <c r="R34" i="87"/>
  <c r="P31" i="87"/>
  <c r="R51" i="87"/>
  <c r="Q38" i="87"/>
  <c r="T38" i="87" s="1"/>
  <c r="O62" i="87"/>
  <c r="O15" i="87"/>
  <c r="O60" i="87"/>
  <c r="O66" i="87"/>
  <c r="Q16" i="87"/>
  <c r="T16" i="87" s="1"/>
  <c r="Q63" i="87"/>
  <c r="T63" i="87" s="1"/>
  <c r="O53" i="87"/>
  <c r="Q55" i="87"/>
  <c r="T55" i="87" s="1"/>
  <c r="Q15" i="87"/>
  <c r="T15" i="87" s="1"/>
  <c r="Q34" i="87"/>
  <c r="T34" i="87" s="1"/>
  <c r="S3" i="85"/>
  <c r="I35" i="97" s="1"/>
  <c r="O60" i="85"/>
  <c r="S22" i="85"/>
  <c r="R70" i="85"/>
  <c r="S34" i="85"/>
  <c r="O12" i="85"/>
  <c r="O23" i="85"/>
  <c r="P56" i="85"/>
  <c r="P46" i="85"/>
  <c r="P20" i="85"/>
  <c r="P60" i="85"/>
  <c r="P12" i="85"/>
  <c r="P50" i="85"/>
  <c r="P26" i="85"/>
  <c r="P23" i="85"/>
  <c r="R72" i="85"/>
  <c r="R3" i="85"/>
  <c r="H35" i="97" s="1"/>
  <c r="R34" i="85"/>
  <c r="O20" i="85"/>
  <c r="S69" i="85"/>
  <c r="Q56" i="85"/>
  <c r="T56" i="85" s="1"/>
  <c r="O59" i="85"/>
  <c r="S14" i="85"/>
  <c r="Q46" i="85"/>
  <c r="T46" i="85" s="1"/>
  <c r="O73" i="85"/>
  <c r="S58" i="85"/>
  <c r="Q20" i="85"/>
  <c r="T20" i="85" s="1"/>
  <c r="O11" i="85"/>
  <c r="E43" i="97" s="1"/>
  <c r="S51" i="85"/>
  <c r="Q60" i="85"/>
  <c r="T60" i="85" s="1"/>
  <c r="O33" i="85"/>
  <c r="S4" i="85"/>
  <c r="I36" i="97" s="1"/>
  <c r="Q64" i="85"/>
  <c r="T64" i="85" s="1"/>
  <c r="O54" i="85"/>
  <c r="S43" i="85"/>
  <c r="Q12" i="85"/>
  <c r="T12" i="85" s="1"/>
  <c r="O17" i="85"/>
  <c r="S49" i="85"/>
  <c r="Q50" i="85"/>
  <c r="T50" i="85" s="1"/>
  <c r="O44" i="85"/>
  <c r="S21" i="85"/>
  <c r="Q26" i="85"/>
  <c r="T26" i="85" s="1"/>
  <c r="O31" i="85"/>
  <c r="S36" i="85"/>
  <c r="Q23" i="85"/>
  <c r="T23" i="85" s="1"/>
  <c r="O28" i="85"/>
  <c r="S29" i="85"/>
  <c r="R32" i="85"/>
  <c r="R19" i="85"/>
  <c r="O56" i="85"/>
  <c r="S32" i="85"/>
  <c r="O26" i="85"/>
  <c r="R56" i="85"/>
  <c r="P59" i="85"/>
  <c r="R46" i="85"/>
  <c r="P73" i="85"/>
  <c r="R20" i="85"/>
  <c r="P11" i="85"/>
  <c r="F43" i="97" s="1"/>
  <c r="R60" i="85"/>
  <c r="P33" i="85"/>
  <c r="R64" i="85"/>
  <c r="P54" i="85"/>
  <c r="R12" i="85"/>
  <c r="P17" i="85"/>
  <c r="R50" i="85"/>
  <c r="P44" i="85"/>
  <c r="R26" i="85"/>
  <c r="P31" i="85"/>
  <c r="R23" i="85"/>
  <c r="P28" i="85"/>
  <c r="S72" i="85"/>
  <c r="O50" i="85"/>
  <c r="S10" i="85"/>
  <c r="I42" i="97" s="1"/>
  <c r="S19" i="85"/>
  <c r="P64" i="85"/>
  <c r="O53" i="85"/>
  <c r="Q59" i="85"/>
  <c r="T59" i="85" s="1"/>
  <c r="O27" i="85"/>
  <c r="S46" i="85"/>
  <c r="Q73" i="85"/>
  <c r="T73" i="85" s="1"/>
  <c r="O63" i="85"/>
  <c r="Q11" i="85"/>
  <c r="O75" i="85"/>
  <c r="Q33" i="85"/>
  <c r="T33" i="85" s="1"/>
  <c r="O61" i="85"/>
  <c r="S64" i="85"/>
  <c r="Q54" i="85"/>
  <c r="T54" i="85" s="1"/>
  <c r="O65" i="85"/>
  <c r="Q17" i="85"/>
  <c r="T17" i="85" s="1"/>
  <c r="O15" i="85"/>
  <c r="Q44" i="85"/>
  <c r="T44" i="85" s="1"/>
  <c r="O55" i="85"/>
  <c r="Q31" i="85"/>
  <c r="T31" i="85" s="1"/>
  <c r="O24" i="85"/>
  <c r="Q28" i="85"/>
  <c r="T28" i="85" s="1"/>
  <c r="O39" i="85"/>
  <c r="R10" i="85"/>
  <c r="H42" i="97" s="1"/>
  <c r="R48" i="85"/>
  <c r="R59" i="85"/>
  <c r="R73" i="85"/>
  <c r="R11" i="85"/>
  <c r="H43" i="97" s="1"/>
  <c r="R33" i="85"/>
  <c r="R54" i="85"/>
  <c r="P65" i="85"/>
  <c r="R17" i="85"/>
  <c r="P15" i="85"/>
  <c r="R44" i="85"/>
  <c r="P55" i="85"/>
  <c r="R31" i="85"/>
  <c r="P24" i="85"/>
  <c r="R28" i="85"/>
  <c r="P39" i="85"/>
  <c r="S70" i="85"/>
  <c r="S48" i="85"/>
  <c r="Q39" i="85"/>
  <c r="T39" i="85" s="1"/>
  <c r="R22" i="85"/>
  <c r="O22" i="85"/>
  <c r="O48" i="85"/>
  <c r="O32" i="85"/>
  <c r="O70" i="85"/>
  <c r="O10" i="85"/>
  <c r="E42" i="97" s="1"/>
  <c r="O19" i="85"/>
  <c r="R41" i="85"/>
  <c r="P72" i="85"/>
  <c r="R66" i="85"/>
  <c r="P3" i="85"/>
  <c r="F35" i="97" s="1"/>
  <c r="R42" i="85"/>
  <c r="P34" i="85"/>
  <c r="R67" i="85"/>
  <c r="P32" i="85"/>
  <c r="R76" i="85"/>
  <c r="P70" i="85"/>
  <c r="R8" i="85"/>
  <c r="H40" i="97" s="1"/>
  <c r="P22" i="85"/>
  <c r="R40" i="85"/>
  <c r="P10" i="85"/>
  <c r="F42" i="97" s="1"/>
  <c r="R7" i="85"/>
  <c r="H39" i="97" s="1"/>
  <c r="P48" i="85"/>
  <c r="R25" i="85"/>
  <c r="P19" i="85"/>
  <c r="R38" i="85"/>
  <c r="O72" i="85"/>
  <c r="O3" i="85"/>
  <c r="E35" i="97" s="1"/>
  <c r="O34" i="85"/>
  <c r="L103" i="97" l="1"/>
  <c r="L104" i="97" s="1"/>
  <c r="L106" i="97" s="1"/>
  <c r="L107" i="97" s="1"/>
  <c r="E13" i="88" s="1"/>
  <c r="N13" i="39" s="1"/>
  <c r="N13" i="34"/>
  <c r="G109" i="97"/>
  <c r="T7" i="83"/>
  <c r="G112" i="97"/>
  <c r="T10" i="83"/>
  <c r="T5" i="83"/>
  <c r="G107" i="97"/>
  <c r="G104" i="97"/>
  <c r="T2" i="83"/>
  <c r="G106" i="97"/>
  <c r="T4" i="83"/>
  <c r="G111" i="97"/>
  <c r="T9" i="83"/>
  <c r="G108" i="97"/>
  <c r="T6" i="83"/>
  <c r="T10" i="79"/>
  <c r="T9" i="79"/>
  <c r="L89" i="97"/>
  <c r="L90" i="97" s="1"/>
  <c r="L92" i="97" s="1"/>
  <c r="L93" i="97" s="1"/>
  <c r="E12" i="88" s="1"/>
  <c r="T5" i="79"/>
  <c r="T6" i="79"/>
  <c r="T3" i="79"/>
  <c r="T4" i="79"/>
  <c r="T12" i="79"/>
  <c r="T4" i="84"/>
  <c r="G78" i="97"/>
  <c r="T3" i="84"/>
  <c r="G77" i="97"/>
  <c r="T2" i="84"/>
  <c r="G76" i="97"/>
  <c r="T8" i="84"/>
  <c r="G82" i="97"/>
  <c r="L75" i="97"/>
  <c r="L76" i="97" s="1"/>
  <c r="L78" i="97" s="1"/>
  <c r="L79" i="97" s="1"/>
  <c r="E11" i="88" s="1"/>
  <c r="N13" i="53" s="1"/>
  <c r="T6" i="84"/>
  <c r="G80" i="97"/>
  <c r="T49" i="86"/>
  <c r="G71" i="97"/>
  <c r="T8" i="86"/>
  <c r="G69" i="97"/>
  <c r="L61" i="97"/>
  <c r="L62" i="97" s="1"/>
  <c r="L64" i="97" s="1"/>
  <c r="L65" i="97" s="1"/>
  <c r="E10" i="88" s="1"/>
  <c r="T5" i="86"/>
  <c r="G66" i="97"/>
  <c r="G67" i="97"/>
  <c r="T6" i="86"/>
  <c r="G63" i="97"/>
  <c r="T3" i="86"/>
  <c r="T22" i="86"/>
  <c r="G64" i="97"/>
  <c r="T2" i="86"/>
  <c r="G62" i="97"/>
  <c r="L47" i="97"/>
  <c r="L48" i="97" s="1"/>
  <c r="L50" i="97" s="1"/>
  <c r="L51" i="97" s="1"/>
  <c r="E9" i="88" s="1"/>
  <c r="T9" i="87"/>
  <c r="G55" i="97"/>
  <c r="G49" i="97"/>
  <c r="T3" i="87"/>
  <c r="T5" i="87"/>
  <c r="G51" i="97"/>
  <c r="G48" i="97"/>
  <c r="T2" i="87"/>
  <c r="T4" i="87"/>
  <c r="G50" i="97"/>
  <c r="T10" i="87"/>
  <c r="G56" i="97"/>
  <c r="G57" i="97"/>
  <c r="T11" i="87"/>
  <c r="G53" i="97"/>
  <c r="T7" i="87"/>
  <c r="T8" i="85"/>
  <c r="G43" i="97"/>
  <c r="T11" i="85"/>
  <c r="G39" i="97"/>
  <c r="T7" i="85"/>
  <c r="G34" i="97"/>
  <c r="T2" i="85"/>
  <c r="G37" i="97"/>
  <c r="T5" i="85"/>
  <c r="G41" i="97"/>
  <c r="T9" i="85"/>
  <c r="L33" i="97"/>
  <c r="L36" i="97" s="1"/>
  <c r="L37" i="97" s="1"/>
  <c r="E8" i="88" s="1"/>
  <c r="T6" i="85"/>
  <c r="G38" i="97"/>
  <c r="G36" i="97"/>
  <c r="T4" i="85"/>
  <c r="N17" i="27"/>
  <c r="F148" i="65" s="1"/>
  <c r="N14" i="35"/>
  <c r="C150" i="65" s="1"/>
  <c r="N14" i="27"/>
  <c r="C148" i="65" s="1"/>
  <c r="N15" i="27"/>
  <c r="E148" i="65" s="1"/>
  <c r="N16" i="35"/>
  <c r="D150" i="65" s="1"/>
  <c r="N14" i="50"/>
  <c r="C160" i="65" s="1"/>
  <c r="N15" i="50"/>
  <c r="E160" i="65" s="1"/>
  <c r="N14" i="57"/>
  <c r="C156" i="65" s="1"/>
  <c r="N16" i="50"/>
  <c r="D160" i="65" s="1"/>
  <c r="N15" i="35"/>
  <c r="E150" i="65" s="1"/>
  <c r="N16" i="57"/>
  <c r="D156" i="65" s="1"/>
  <c r="N15" i="57"/>
  <c r="E156" i="65" s="1"/>
  <c r="C21" i="62"/>
  <c r="C72" i="96"/>
  <c r="C71" i="96"/>
  <c r="E6" i="96"/>
  <c r="C70" i="96"/>
  <c r="C73" i="96"/>
  <c r="C93" i="96"/>
  <c r="E21" i="96" s="1"/>
  <c r="C83" i="96"/>
  <c r="E15" i="96" s="1"/>
  <c r="C77" i="96"/>
  <c r="E9" i="96" s="1"/>
  <c r="E5" i="96"/>
  <c r="N13" i="46" l="1"/>
  <c r="N13" i="28"/>
  <c r="N13" i="41"/>
  <c r="N17" i="53"/>
  <c r="F157" i="65" s="1"/>
  <c r="N16" i="53"/>
  <c r="D157" i="65" s="1"/>
  <c r="N14" i="53"/>
  <c r="C157" i="65" s="1"/>
  <c r="N15" i="53"/>
  <c r="E157" i="65" s="1"/>
  <c r="N13" i="30"/>
  <c r="N13" i="36"/>
  <c r="N13" i="63"/>
  <c r="N13" i="96"/>
  <c r="N13" i="66"/>
  <c r="F103" i="65"/>
  <c r="F76" i="65"/>
  <c r="F130" i="65"/>
  <c r="S48" i="65"/>
  <c r="F158" i="65"/>
  <c r="E12" i="96"/>
  <c r="E7" i="96"/>
  <c r="E13" i="96" s="1"/>
  <c r="C79" i="96"/>
  <c r="E11" i="96" s="1"/>
  <c r="C94" i="96"/>
  <c r="C96" i="96" s="1"/>
  <c r="E22" i="96" s="1"/>
  <c r="E24" i="96" s="1"/>
  <c r="C84" i="96"/>
  <c r="C86" i="96" s="1"/>
  <c r="E16" i="96" s="1"/>
  <c r="E18" i="96" s="1"/>
  <c r="C85" i="96"/>
  <c r="C87" i="96" s="1"/>
  <c r="E17" i="96" s="1"/>
  <c r="E19" i="96" s="1"/>
  <c r="C95" i="96"/>
  <c r="C97" i="96" s="1"/>
  <c r="E23" i="96" s="1"/>
  <c r="E25" i="96" s="1"/>
  <c r="C78" i="96"/>
  <c r="E10" i="96" s="1"/>
  <c r="N14" i="36" l="1"/>
  <c r="C151" i="65" s="1"/>
  <c r="N16" i="36"/>
  <c r="D151" i="65" s="1"/>
  <c r="N17" i="36"/>
  <c r="F151" i="65" s="1"/>
  <c r="N15" i="36"/>
  <c r="E151" i="65" s="1"/>
  <c r="N17" i="30"/>
  <c r="F144" i="65" s="1"/>
  <c r="N16" i="30"/>
  <c r="D144" i="65" s="1"/>
  <c r="N14" i="30"/>
  <c r="C144" i="65" s="1"/>
  <c r="N15" i="30"/>
  <c r="E144" i="65" s="1"/>
  <c r="N17" i="66"/>
  <c r="F154" i="65" s="1"/>
  <c r="N16" i="66"/>
  <c r="D154" i="65" s="1"/>
  <c r="N15" i="66"/>
  <c r="E154" i="65" s="1"/>
  <c r="N14" i="66"/>
  <c r="C154" i="65" s="1"/>
  <c r="N17" i="96"/>
  <c r="F155" i="65" s="1"/>
  <c r="N14" i="96"/>
  <c r="C155" i="65" s="1"/>
  <c r="N15" i="96"/>
  <c r="E155" i="65" s="1"/>
  <c r="N16" i="96"/>
  <c r="D155" i="65" s="1"/>
  <c r="N17" i="63"/>
  <c r="F153" i="65" s="1"/>
  <c r="N16" i="63"/>
  <c r="D153" i="65" s="1"/>
  <c r="N14" i="63"/>
  <c r="C153" i="65" s="1"/>
  <c r="N15" i="63"/>
  <c r="E153" i="65" s="1"/>
  <c r="A9" i="14" l="1"/>
  <c r="I21" i="63"/>
  <c r="I13" i="63"/>
  <c r="I5" i="63"/>
  <c r="D55" i="63"/>
  <c r="C36" i="63" s="1"/>
  <c r="C90" i="63" s="1"/>
  <c r="C66" i="63"/>
  <c r="C65" i="63"/>
  <c r="C33" i="63"/>
  <c r="C32" i="63"/>
  <c r="N22" i="80"/>
  <c r="N75" i="80"/>
  <c r="N54" i="80"/>
  <c r="N66" i="80"/>
  <c r="N65" i="80"/>
  <c r="N30" i="80"/>
  <c r="N48" i="80"/>
  <c r="N57" i="80"/>
  <c r="N59" i="80"/>
  <c r="N68" i="80"/>
  <c r="N55" i="80"/>
  <c r="N73" i="80"/>
  <c r="N76" i="80"/>
  <c r="N60" i="80"/>
  <c r="N64" i="80"/>
  <c r="N20" i="80"/>
  <c r="N74" i="80"/>
  <c r="N71" i="80"/>
  <c r="N28" i="80"/>
  <c r="N53" i="80"/>
  <c r="N4" i="80"/>
  <c r="N69" i="80"/>
  <c r="N38" i="80"/>
  <c r="N50" i="80"/>
  <c r="N61" i="80"/>
  <c r="N70" i="80"/>
  <c r="N63" i="80"/>
  <c r="N29" i="80"/>
  <c r="N67" i="80"/>
  <c r="N44" i="80"/>
  <c r="N15" i="80"/>
  <c r="N37" i="80"/>
  <c r="N58" i="80"/>
  <c r="N35" i="80"/>
  <c r="N49" i="80"/>
  <c r="N52" i="80"/>
  <c r="N34" i="80"/>
  <c r="N36" i="80"/>
  <c r="N72" i="80"/>
  <c r="N26" i="80"/>
  <c r="N27" i="80"/>
  <c r="N33" i="80"/>
  <c r="N47" i="80"/>
  <c r="N13" i="80"/>
  <c r="N45" i="80"/>
  <c r="N2" i="80"/>
  <c r="N25" i="80"/>
  <c r="N43" i="80"/>
  <c r="N21" i="80"/>
  <c r="N46" i="80"/>
  <c r="N6" i="80"/>
  <c r="N18" i="80"/>
  <c r="N9" i="80"/>
  <c r="N3" i="80"/>
  <c r="N10" i="80"/>
  <c r="N11" i="80"/>
  <c r="N41" i="80"/>
  <c r="N24" i="80"/>
  <c r="N42" i="80"/>
  <c r="N51" i="80"/>
  <c r="N56" i="80"/>
  <c r="N17" i="80"/>
  <c r="N62" i="80"/>
  <c r="N32" i="80"/>
  <c r="N16" i="80"/>
  <c r="N14" i="80"/>
  <c r="N7" i="80"/>
  <c r="N40" i="80"/>
  <c r="N39" i="80"/>
  <c r="N5" i="80"/>
  <c r="N8" i="80"/>
  <c r="N19" i="80"/>
  <c r="N23" i="80"/>
  <c r="N31" i="80"/>
  <c r="N12" i="80"/>
  <c r="N45" i="82"/>
  <c r="O45" i="82" s="1"/>
  <c r="N43" i="82"/>
  <c r="N27" i="82"/>
  <c r="N47" i="82"/>
  <c r="N44" i="82"/>
  <c r="N17" i="82"/>
  <c r="N76" i="82"/>
  <c r="N50" i="82"/>
  <c r="N55" i="82"/>
  <c r="N34" i="82"/>
  <c r="N57" i="82"/>
  <c r="N11" i="82"/>
  <c r="N15" i="82"/>
  <c r="N3" i="82"/>
  <c r="N22" i="82"/>
  <c r="N25" i="82"/>
  <c r="N8" i="82"/>
  <c r="N75" i="82"/>
  <c r="N31" i="82"/>
  <c r="N49" i="82"/>
  <c r="N39" i="82"/>
  <c r="N30" i="82"/>
  <c r="N58" i="82"/>
  <c r="N70" i="82"/>
  <c r="N16" i="82"/>
  <c r="N59" i="82"/>
  <c r="N35" i="82"/>
  <c r="N72" i="82"/>
  <c r="N10" i="82"/>
  <c r="N18" i="82"/>
  <c r="N4" i="82"/>
  <c r="N62" i="82"/>
  <c r="N61" i="82"/>
  <c r="N52" i="82"/>
  <c r="N21" i="82"/>
  <c r="N46" i="82"/>
  <c r="N51" i="82"/>
  <c r="N9" i="82"/>
  <c r="N64" i="82"/>
  <c r="N48" i="82"/>
  <c r="N33" i="82"/>
  <c r="N68" i="82"/>
  <c r="N19" i="82"/>
  <c r="N73" i="82"/>
  <c r="N53" i="82"/>
  <c r="N23" i="82"/>
  <c r="N60" i="82"/>
  <c r="N28" i="82"/>
  <c r="N66" i="82"/>
  <c r="N63" i="82"/>
  <c r="N54" i="82"/>
  <c r="N67" i="82"/>
  <c r="N41" i="82"/>
  <c r="N74" i="82"/>
  <c r="N12" i="82"/>
  <c r="N7" i="82"/>
  <c r="N32" i="82"/>
  <c r="N29" i="82"/>
  <c r="N6" i="82"/>
  <c r="N20" i="82"/>
  <c r="N38" i="82"/>
  <c r="N13" i="82"/>
  <c r="N69" i="82"/>
  <c r="N40" i="82"/>
  <c r="N42" i="82"/>
  <c r="N56" i="82"/>
  <c r="N71" i="82"/>
  <c r="N26" i="82"/>
  <c r="N24" i="82"/>
  <c r="N5" i="82"/>
  <c r="N2" i="82"/>
  <c r="N65" i="82"/>
  <c r="N37" i="82"/>
  <c r="N36" i="82"/>
  <c r="N14" i="82"/>
  <c r="C676" i="75"/>
  <c r="C675" i="75"/>
  <c r="C674" i="75"/>
  <c r="C673" i="75"/>
  <c r="C672" i="75"/>
  <c r="C671" i="75"/>
  <c r="C670" i="75"/>
  <c r="C669" i="75"/>
  <c r="C668" i="75"/>
  <c r="C667" i="75"/>
  <c r="C666" i="75"/>
  <c r="C665" i="75"/>
  <c r="C664" i="75"/>
  <c r="C663" i="75"/>
  <c r="C662" i="75"/>
  <c r="C661" i="75"/>
  <c r="C660" i="75"/>
  <c r="C659" i="75"/>
  <c r="C658" i="75"/>
  <c r="C657" i="75"/>
  <c r="C656" i="75"/>
  <c r="C655" i="75"/>
  <c r="C654" i="75"/>
  <c r="C653" i="75"/>
  <c r="C652" i="75"/>
  <c r="C651" i="75"/>
  <c r="C650" i="75"/>
  <c r="C649" i="75"/>
  <c r="C648" i="75"/>
  <c r="C647" i="75"/>
  <c r="C646" i="75"/>
  <c r="C645" i="75"/>
  <c r="C644" i="75"/>
  <c r="C643" i="75"/>
  <c r="C642" i="75"/>
  <c r="C641" i="75"/>
  <c r="C640" i="75"/>
  <c r="C639" i="75"/>
  <c r="C638" i="75"/>
  <c r="C637" i="75"/>
  <c r="C636" i="75"/>
  <c r="C635" i="75"/>
  <c r="C634" i="75"/>
  <c r="C633" i="75"/>
  <c r="C632" i="75"/>
  <c r="C631" i="75"/>
  <c r="C630" i="75"/>
  <c r="C629" i="75"/>
  <c r="C628" i="75"/>
  <c r="C627" i="75"/>
  <c r="C626" i="75"/>
  <c r="C625" i="75"/>
  <c r="C624" i="75"/>
  <c r="C623" i="75"/>
  <c r="C622" i="75"/>
  <c r="C621" i="75"/>
  <c r="C620" i="75"/>
  <c r="C619" i="75"/>
  <c r="C618" i="75"/>
  <c r="C617" i="75"/>
  <c r="C616" i="75"/>
  <c r="C615" i="75"/>
  <c r="C614" i="75"/>
  <c r="C613" i="75"/>
  <c r="C612" i="75"/>
  <c r="C611" i="75"/>
  <c r="C610" i="75"/>
  <c r="C609" i="75"/>
  <c r="C608" i="75"/>
  <c r="C607" i="75"/>
  <c r="C606" i="75"/>
  <c r="C605" i="75"/>
  <c r="C604" i="75"/>
  <c r="C603" i="75"/>
  <c r="C602" i="75"/>
  <c r="C601" i="75"/>
  <c r="C600" i="75"/>
  <c r="C599" i="75"/>
  <c r="C598" i="75"/>
  <c r="C597" i="75"/>
  <c r="C596" i="75"/>
  <c r="C595" i="75"/>
  <c r="C594" i="75"/>
  <c r="C593" i="75"/>
  <c r="C592" i="75"/>
  <c r="C591" i="75"/>
  <c r="C590" i="75"/>
  <c r="C589" i="75"/>
  <c r="C588" i="75"/>
  <c r="C587" i="75"/>
  <c r="C586" i="75"/>
  <c r="C585" i="75"/>
  <c r="C584" i="75"/>
  <c r="C583" i="75"/>
  <c r="C582" i="75"/>
  <c r="C581" i="75"/>
  <c r="C580" i="75"/>
  <c r="C579" i="75"/>
  <c r="C578" i="75"/>
  <c r="C577" i="75"/>
  <c r="C576" i="75"/>
  <c r="C575" i="75"/>
  <c r="C574" i="75"/>
  <c r="C573" i="75"/>
  <c r="C572" i="75"/>
  <c r="C571" i="75"/>
  <c r="C570" i="75"/>
  <c r="C569" i="75"/>
  <c r="C568" i="75"/>
  <c r="C567" i="75"/>
  <c r="C566" i="75"/>
  <c r="C565" i="75"/>
  <c r="C564" i="75"/>
  <c r="C563" i="75"/>
  <c r="C562" i="75"/>
  <c r="C561" i="75"/>
  <c r="C560" i="75"/>
  <c r="C559" i="75"/>
  <c r="C558" i="75"/>
  <c r="C557" i="75"/>
  <c r="C556" i="75"/>
  <c r="C555" i="75"/>
  <c r="C554" i="75"/>
  <c r="C553" i="75"/>
  <c r="C552" i="75"/>
  <c r="C551" i="75"/>
  <c r="C550" i="75"/>
  <c r="C549" i="75"/>
  <c r="C548" i="75"/>
  <c r="C547" i="75"/>
  <c r="C546" i="75"/>
  <c r="C545" i="75"/>
  <c r="C544" i="75"/>
  <c r="C543" i="75"/>
  <c r="C542" i="75"/>
  <c r="C541" i="75"/>
  <c r="C540" i="75"/>
  <c r="C539" i="75"/>
  <c r="C538" i="75"/>
  <c r="C537" i="75"/>
  <c r="C536" i="75"/>
  <c r="C535" i="75"/>
  <c r="C534" i="75"/>
  <c r="C533" i="75"/>
  <c r="C532" i="75"/>
  <c r="C531" i="75"/>
  <c r="C530" i="75"/>
  <c r="C529" i="75"/>
  <c r="C528" i="75"/>
  <c r="C527" i="75"/>
  <c r="C526" i="75"/>
  <c r="C525" i="75"/>
  <c r="C524" i="75"/>
  <c r="C523" i="75"/>
  <c r="C522" i="75"/>
  <c r="C521" i="75"/>
  <c r="C520" i="75"/>
  <c r="C519" i="75"/>
  <c r="C518" i="75"/>
  <c r="C517" i="75"/>
  <c r="C516" i="75"/>
  <c r="C515" i="75"/>
  <c r="C514" i="75"/>
  <c r="C513" i="75"/>
  <c r="C512" i="75"/>
  <c r="C511" i="75"/>
  <c r="C510" i="75"/>
  <c r="C509" i="75"/>
  <c r="C508" i="75"/>
  <c r="C507" i="75"/>
  <c r="C506" i="75"/>
  <c r="C505" i="75"/>
  <c r="C504" i="75"/>
  <c r="C503" i="75"/>
  <c r="C502" i="75"/>
  <c r="C501" i="75"/>
  <c r="C500" i="75"/>
  <c r="C499" i="75"/>
  <c r="C498" i="75"/>
  <c r="C497" i="75"/>
  <c r="C496" i="75"/>
  <c r="C495" i="75"/>
  <c r="C494" i="75"/>
  <c r="C493" i="75"/>
  <c r="C492" i="75"/>
  <c r="C491" i="75"/>
  <c r="C490" i="75"/>
  <c r="C489" i="75"/>
  <c r="C488" i="75"/>
  <c r="C487" i="75"/>
  <c r="C486" i="75"/>
  <c r="C485" i="75"/>
  <c r="C484" i="75"/>
  <c r="C483" i="75"/>
  <c r="C482" i="75"/>
  <c r="C481" i="75"/>
  <c r="C480" i="75"/>
  <c r="C479" i="75"/>
  <c r="C478" i="75"/>
  <c r="C477" i="75"/>
  <c r="C476" i="75"/>
  <c r="C475" i="75"/>
  <c r="C474" i="75"/>
  <c r="C473" i="75"/>
  <c r="C472" i="75"/>
  <c r="C471" i="75"/>
  <c r="C470" i="75"/>
  <c r="C469" i="75"/>
  <c r="C468" i="75"/>
  <c r="C467" i="75"/>
  <c r="C466" i="75"/>
  <c r="C465" i="75"/>
  <c r="C464" i="75"/>
  <c r="C463" i="75"/>
  <c r="C462" i="75"/>
  <c r="C461" i="75"/>
  <c r="C460" i="75"/>
  <c r="C459" i="75"/>
  <c r="C458" i="75"/>
  <c r="C457" i="75"/>
  <c r="C456" i="75"/>
  <c r="C455" i="75"/>
  <c r="C454" i="75"/>
  <c r="C453" i="75"/>
  <c r="C452" i="75"/>
  <c r="C451" i="75"/>
  <c r="C450" i="75"/>
  <c r="C449" i="75"/>
  <c r="C448" i="75"/>
  <c r="C447" i="75"/>
  <c r="C446" i="75"/>
  <c r="C445" i="75"/>
  <c r="C444" i="75"/>
  <c r="C443" i="75"/>
  <c r="C442" i="75"/>
  <c r="C441" i="75"/>
  <c r="C440" i="75"/>
  <c r="C439" i="75"/>
  <c r="C438" i="75"/>
  <c r="C437" i="75"/>
  <c r="C436" i="75"/>
  <c r="C435" i="75"/>
  <c r="C434" i="75"/>
  <c r="C433" i="75"/>
  <c r="C432" i="75"/>
  <c r="C431" i="75"/>
  <c r="C430" i="75"/>
  <c r="C429" i="75"/>
  <c r="C428" i="75"/>
  <c r="C427" i="75"/>
  <c r="C426" i="75"/>
  <c r="C425" i="75"/>
  <c r="C424" i="75"/>
  <c r="C423" i="75"/>
  <c r="C422" i="75"/>
  <c r="C421" i="75"/>
  <c r="C420" i="75"/>
  <c r="C419" i="75"/>
  <c r="C418" i="75"/>
  <c r="C417" i="75"/>
  <c r="C416" i="75"/>
  <c r="C415" i="75"/>
  <c r="C414" i="75"/>
  <c r="C413" i="75"/>
  <c r="C412" i="75"/>
  <c r="C411" i="75"/>
  <c r="C410" i="75"/>
  <c r="C409" i="75"/>
  <c r="C408" i="75"/>
  <c r="C407" i="75"/>
  <c r="C406" i="75"/>
  <c r="C405" i="75"/>
  <c r="C404" i="75"/>
  <c r="C403" i="75"/>
  <c r="C402" i="75"/>
  <c r="C401" i="75"/>
  <c r="C400" i="75"/>
  <c r="C399" i="75"/>
  <c r="C398" i="75"/>
  <c r="C397" i="75"/>
  <c r="C396" i="75"/>
  <c r="C395" i="75"/>
  <c r="C394" i="75"/>
  <c r="C393" i="75"/>
  <c r="C392" i="75"/>
  <c r="C391" i="75"/>
  <c r="C390" i="75"/>
  <c r="C389" i="75"/>
  <c r="C388" i="75"/>
  <c r="C387" i="75"/>
  <c r="C386" i="75"/>
  <c r="C385" i="75"/>
  <c r="C384" i="75"/>
  <c r="C383" i="75"/>
  <c r="C382" i="75"/>
  <c r="C381" i="75"/>
  <c r="C380" i="75"/>
  <c r="C379" i="75"/>
  <c r="C378" i="75"/>
  <c r="C377" i="75"/>
  <c r="C376" i="75"/>
  <c r="C375" i="75"/>
  <c r="C374" i="75"/>
  <c r="C373" i="75"/>
  <c r="C372" i="75"/>
  <c r="C371" i="75"/>
  <c r="C370" i="75"/>
  <c r="C369" i="75"/>
  <c r="C368" i="75"/>
  <c r="C367" i="75"/>
  <c r="C366" i="75"/>
  <c r="C365" i="75"/>
  <c r="C364" i="75"/>
  <c r="C363" i="75"/>
  <c r="C362" i="75"/>
  <c r="C361" i="75"/>
  <c r="C360" i="75"/>
  <c r="C359" i="75"/>
  <c r="C358" i="75"/>
  <c r="C357" i="75"/>
  <c r="C356" i="75"/>
  <c r="C355" i="75"/>
  <c r="C354" i="75"/>
  <c r="C353" i="75"/>
  <c r="C352" i="75"/>
  <c r="C351" i="75"/>
  <c r="C350" i="75"/>
  <c r="C349" i="75"/>
  <c r="C348" i="75"/>
  <c r="C347" i="75"/>
  <c r="C346" i="75"/>
  <c r="C345" i="75"/>
  <c r="C344" i="75"/>
  <c r="C343" i="75"/>
  <c r="C342" i="75"/>
  <c r="C341" i="75"/>
  <c r="C340" i="75"/>
  <c r="C339" i="75"/>
  <c r="C338" i="75"/>
  <c r="C337" i="75"/>
  <c r="C336" i="75"/>
  <c r="C335" i="75"/>
  <c r="C334" i="75"/>
  <c r="C333" i="75"/>
  <c r="C332" i="75"/>
  <c r="C331" i="75"/>
  <c r="C330" i="75"/>
  <c r="C329" i="75"/>
  <c r="C328" i="75"/>
  <c r="C327" i="75"/>
  <c r="C326" i="75"/>
  <c r="C325" i="75"/>
  <c r="C324" i="75"/>
  <c r="C323" i="75"/>
  <c r="C322" i="75"/>
  <c r="C321" i="75"/>
  <c r="C320" i="75"/>
  <c r="C319" i="75"/>
  <c r="C318" i="75"/>
  <c r="C317" i="75"/>
  <c r="C316" i="75"/>
  <c r="C315" i="75"/>
  <c r="C314" i="75"/>
  <c r="C313" i="75"/>
  <c r="C312" i="75"/>
  <c r="C311" i="75"/>
  <c r="C310" i="75"/>
  <c r="C309" i="75"/>
  <c r="C308" i="75"/>
  <c r="C307" i="75"/>
  <c r="C306" i="75"/>
  <c r="C305" i="75"/>
  <c r="C304" i="75"/>
  <c r="C303" i="75"/>
  <c r="C302" i="75"/>
  <c r="C301" i="75"/>
  <c r="C300" i="75"/>
  <c r="C299" i="75"/>
  <c r="C298" i="75"/>
  <c r="C297" i="75"/>
  <c r="C296" i="75"/>
  <c r="C295" i="75"/>
  <c r="C294" i="75"/>
  <c r="C293" i="75"/>
  <c r="C292" i="75"/>
  <c r="C291" i="75"/>
  <c r="C290" i="75"/>
  <c r="C289" i="75"/>
  <c r="C288" i="75"/>
  <c r="C287" i="75"/>
  <c r="C286" i="75"/>
  <c r="C285" i="75"/>
  <c r="C284" i="75"/>
  <c r="C283" i="75"/>
  <c r="C282" i="75"/>
  <c r="C281" i="75"/>
  <c r="C280" i="75"/>
  <c r="C279" i="75"/>
  <c r="C278" i="75"/>
  <c r="C277" i="75"/>
  <c r="C276" i="75"/>
  <c r="C275" i="75"/>
  <c r="C274" i="75"/>
  <c r="C273" i="75"/>
  <c r="C272" i="75"/>
  <c r="C271" i="75"/>
  <c r="C270" i="75"/>
  <c r="C269" i="75"/>
  <c r="C268" i="75"/>
  <c r="C267" i="75"/>
  <c r="C266" i="75"/>
  <c r="C265" i="75"/>
  <c r="C264" i="75"/>
  <c r="C263" i="75"/>
  <c r="C262" i="75"/>
  <c r="C261" i="75"/>
  <c r="C260" i="75"/>
  <c r="C259" i="75"/>
  <c r="C258" i="75"/>
  <c r="C257" i="75"/>
  <c r="C256" i="75"/>
  <c r="C255" i="75"/>
  <c r="C254" i="75"/>
  <c r="C253" i="75"/>
  <c r="C252" i="75"/>
  <c r="C251" i="75"/>
  <c r="C250" i="75"/>
  <c r="C249" i="75"/>
  <c r="C248" i="75"/>
  <c r="C247" i="75"/>
  <c r="C246" i="75"/>
  <c r="C245" i="75"/>
  <c r="C244" i="75"/>
  <c r="C243" i="75"/>
  <c r="C242" i="75"/>
  <c r="C241" i="75"/>
  <c r="C240" i="75"/>
  <c r="C239" i="75"/>
  <c r="C238" i="75"/>
  <c r="C237" i="75"/>
  <c r="C236" i="75"/>
  <c r="C235" i="75"/>
  <c r="C234" i="75"/>
  <c r="C233" i="75"/>
  <c r="C232" i="75"/>
  <c r="C231" i="75"/>
  <c r="C230" i="75"/>
  <c r="C229" i="75"/>
  <c r="C228" i="75"/>
  <c r="C227" i="75"/>
  <c r="C226" i="75"/>
  <c r="C225" i="75"/>
  <c r="C224" i="75"/>
  <c r="C223" i="75"/>
  <c r="C222" i="75"/>
  <c r="C221" i="75"/>
  <c r="C220" i="75"/>
  <c r="C219" i="75"/>
  <c r="C218" i="75"/>
  <c r="C217" i="75"/>
  <c r="C216" i="75"/>
  <c r="C215" i="75"/>
  <c r="C214" i="75"/>
  <c r="C213" i="75"/>
  <c r="C212" i="75"/>
  <c r="C211" i="75"/>
  <c r="C210" i="75"/>
  <c r="C209" i="75"/>
  <c r="C208" i="75"/>
  <c r="C207" i="75"/>
  <c r="C206" i="75"/>
  <c r="C205" i="75"/>
  <c r="C204" i="75"/>
  <c r="C203" i="75"/>
  <c r="C202" i="75"/>
  <c r="C201" i="75"/>
  <c r="C200" i="75"/>
  <c r="C199" i="75"/>
  <c r="C198" i="75"/>
  <c r="C197" i="75"/>
  <c r="C196" i="75"/>
  <c r="C195" i="75"/>
  <c r="C194" i="75"/>
  <c r="C193" i="75"/>
  <c r="C192" i="75"/>
  <c r="C191" i="75"/>
  <c r="C190" i="75"/>
  <c r="C189" i="75"/>
  <c r="C188" i="75"/>
  <c r="C187" i="75"/>
  <c r="C186" i="75"/>
  <c r="C185" i="75"/>
  <c r="C184" i="75"/>
  <c r="C183" i="75"/>
  <c r="C182" i="75"/>
  <c r="C181" i="75"/>
  <c r="C180" i="75"/>
  <c r="C179" i="75"/>
  <c r="C178" i="75"/>
  <c r="C177" i="75"/>
  <c r="C176" i="75"/>
  <c r="C175" i="75"/>
  <c r="C174" i="75"/>
  <c r="C173" i="75"/>
  <c r="C172" i="75"/>
  <c r="C171" i="75"/>
  <c r="C170" i="75"/>
  <c r="C169" i="75"/>
  <c r="C168" i="75"/>
  <c r="C167" i="75"/>
  <c r="C166" i="75"/>
  <c r="C165" i="75"/>
  <c r="C164" i="75"/>
  <c r="C163" i="75"/>
  <c r="C162" i="75"/>
  <c r="C161" i="75"/>
  <c r="C160" i="75"/>
  <c r="C159" i="75"/>
  <c r="C158" i="75"/>
  <c r="C157" i="75"/>
  <c r="C156" i="75"/>
  <c r="C155" i="75"/>
  <c r="C154" i="75"/>
  <c r="C153" i="75"/>
  <c r="C152" i="75"/>
  <c r="C151" i="75"/>
  <c r="C150" i="75"/>
  <c r="C149" i="75"/>
  <c r="C148" i="75"/>
  <c r="C147" i="75"/>
  <c r="C146" i="75"/>
  <c r="C145" i="75"/>
  <c r="C144" i="75"/>
  <c r="C143" i="75"/>
  <c r="C142" i="75"/>
  <c r="C141" i="75"/>
  <c r="C140" i="75"/>
  <c r="C139" i="75"/>
  <c r="C138" i="75"/>
  <c r="C137" i="75"/>
  <c r="C136" i="75"/>
  <c r="C135" i="75"/>
  <c r="C134" i="75"/>
  <c r="C133" i="75"/>
  <c r="C132" i="75"/>
  <c r="C131" i="75"/>
  <c r="C130" i="75"/>
  <c r="C129" i="75"/>
  <c r="C128" i="75"/>
  <c r="C127" i="75"/>
  <c r="C126" i="75"/>
  <c r="C125" i="75"/>
  <c r="C124" i="75"/>
  <c r="C123" i="75"/>
  <c r="C122" i="75"/>
  <c r="C121" i="75"/>
  <c r="C120" i="75"/>
  <c r="C119" i="75"/>
  <c r="C118" i="75"/>
  <c r="C117" i="75"/>
  <c r="C116" i="75"/>
  <c r="C115" i="75"/>
  <c r="C114" i="75"/>
  <c r="C113" i="75"/>
  <c r="C112" i="75"/>
  <c r="C111" i="75"/>
  <c r="C110" i="75"/>
  <c r="C109" i="75"/>
  <c r="C108" i="75"/>
  <c r="C107" i="75"/>
  <c r="C106" i="75"/>
  <c r="C105" i="75"/>
  <c r="C104" i="75"/>
  <c r="C103" i="75"/>
  <c r="C102" i="75"/>
  <c r="C101" i="75"/>
  <c r="C100" i="75"/>
  <c r="C99" i="75"/>
  <c r="C98" i="75"/>
  <c r="C97" i="75"/>
  <c r="C96" i="75"/>
  <c r="C95" i="75"/>
  <c r="C94" i="75"/>
  <c r="C93" i="75"/>
  <c r="C92" i="75"/>
  <c r="C91" i="75"/>
  <c r="C90" i="75"/>
  <c r="C89" i="75"/>
  <c r="C88" i="75"/>
  <c r="C87" i="75"/>
  <c r="C86" i="75"/>
  <c r="C85" i="75"/>
  <c r="C84" i="75"/>
  <c r="C83" i="75"/>
  <c r="C82" i="75"/>
  <c r="C81" i="75"/>
  <c r="C80" i="75"/>
  <c r="C79" i="75"/>
  <c r="C78" i="75"/>
  <c r="C77" i="75"/>
  <c r="C76" i="75"/>
  <c r="C75" i="75"/>
  <c r="C74" i="75"/>
  <c r="C73" i="75"/>
  <c r="C72" i="75"/>
  <c r="C71" i="75"/>
  <c r="C70" i="75"/>
  <c r="C69" i="75"/>
  <c r="C68" i="75"/>
  <c r="C67" i="75"/>
  <c r="C66" i="75"/>
  <c r="C65" i="75"/>
  <c r="C64" i="75"/>
  <c r="C63" i="75"/>
  <c r="C62" i="75"/>
  <c r="C61" i="75"/>
  <c r="C60" i="75"/>
  <c r="C59" i="75"/>
  <c r="C58" i="75"/>
  <c r="C57" i="75"/>
  <c r="C56" i="75"/>
  <c r="C55" i="75"/>
  <c r="C54" i="75"/>
  <c r="C53" i="75"/>
  <c r="C52" i="75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4" i="75"/>
  <c r="C33" i="75"/>
  <c r="C32" i="75"/>
  <c r="C31" i="75"/>
  <c r="C30" i="75"/>
  <c r="C29" i="75"/>
  <c r="C28" i="75"/>
  <c r="C27" i="75"/>
  <c r="C26" i="75"/>
  <c r="C25" i="75"/>
  <c r="C24" i="75"/>
  <c r="C23" i="75"/>
  <c r="C22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H27" i="14"/>
  <c r="G27" i="14"/>
  <c r="F27" i="14"/>
  <c r="E27" i="14"/>
  <c r="D27" i="14"/>
  <c r="C27" i="14"/>
  <c r="D50" i="65"/>
  <c r="D49" i="65"/>
  <c r="D47" i="65"/>
  <c r="D46" i="65"/>
  <c r="D42" i="65"/>
  <c r="D41" i="65"/>
  <c r="D40" i="65"/>
  <c r="D39" i="65"/>
  <c r="D38" i="65"/>
  <c r="D37" i="65"/>
  <c r="D36" i="65"/>
  <c r="D34" i="65"/>
  <c r="D33" i="65"/>
  <c r="C50" i="65"/>
  <c r="C49" i="65"/>
  <c r="C46" i="65"/>
  <c r="C42" i="65"/>
  <c r="C41" i="65"/>
  <c r="C40" i="65"/>
  <c r="C39" i="65"/>
  <c r="C38" i="65"/>
  <c r="C37" i="65"/>
  <c r="C36" i="65"/>
  <c r="C35" i="65"/>
  <c r="C34" i="65"/>
  <c r="M5" i="50"/>
  <c r="I21" i="50"/>
  <c r="I13" i="50"/>
  <c r="I5" i="50"/>
  <c r="C70" i="50"/>
  <c r="C69" i="50"/>
  <c r="C34" i="50"/>
  <c r="C33" i="50"/>
  <c r="M5" i="46"/>
  <c r="I21" i="46"/>
  <c r="I13" i="46"/>
  <c r="I5" i="46"/>
  <c r="C70" i="46"/>
  <c r="C69" i="46"/>
  <c r="D56" i="46"/>
  <c r="C34" i="46"/>
  <c r="C33" i="46"/>
  <c r="I21" i="53"/>
  <c r="I13" i="53"/>
  <c r="I5" i="53"/>
  <c r="C90" i="53"/>
  <c r="C34" i="53"/>
  <c r="C33" i="53"/>
  <c r="C70" i="53"/>
  <c r="C69" i="53"/>
  <c r="I21" i="57"/>
  <c r="I13" i="57"/>
  <c r="I5" i="57"/>
  <c r="C91" i="57"/>
  <c r="C34" i="57"/>
  <c r="C33" i="57"/>
  <c r="C71" i="57"/>
  <c r="C70" i="57"/>
  <c r="I21" i="64"/>
  <c r="I13" i="64"/>
  <c r="I5" i="64"/>
  <c r="C34" i="64"/>
  <c r="C33" i="64"/>
  <c r="C72" i="64"/>
  <c r="C71" i="64"/>
  <c r="I21" i="36"/>
  <c r="I13" i="36"/>
  <c r="I5" i="36"/>
  <c r="I21" i="35"/>
  <c r="I13" i="35"/>
  <c r="I5" i="35"/>
  <c r="I21" i="34"/>
  <c r="I13" i="34"/>
  <c r="I5" i="34"/>
  <c r="D12" i="18"/>
  <c r="C12" i="18"/>
  <c r="C32" i="34"/>
  <c r="I21" i="27"/>
  <c r="I13" i="27"/>
  <c r="I5" i="27"/>
  <c r="I21" i="28"/>
  <c r="I13" i="28"/>
  <c r="I5" i="28"/>
  <c r="I21" i="41"/>
  <c r="I13" i="41"/>
  <c r="I5" i="41"/>
  <c r="I21" i="21"/>
  <c r="I13" i="21"/>
  <c r="I5" i="21"/>
  <c r="I21" i="30"/>
  <c r="I13" i="30"/>
  <c r="I5" i="30"/>
  <c r="I21" i="39"/>
  <c r="I13" i="39"/>
  <c r="I5" i="39"/>
  <c r="D5" i="18"/>
  <c r="D6" i="18"/>
  <c r="G6" i="88"/>
  <c r="G7" i="88"/>
  <c r="G8" i="88"/>
  <c r="G9" i="88"/>
  <c r="G10" i="88"/>
  <c r="G11" i="88"/>
  <c r="G12" i="88"/>
  <c r="G13" i="88"/>
  <c r="G14" i="88"/>
  <c r="F14" i="88"/>
  <c r="F13" i="88"/>
  <c r="F12" i="88"/>
  <c r="F11" i="88"/>
  <c r="F10" i="88"/>
  <c r="F9" i="88"/>
  <c r="F8" i="88"/>
  <c r="F7" i="88"/>
  <c r="F6" i="88"/>
  <c r="A12" i="14" l="1"/>
  <c r="Q3" i="80"/>
  <c r="Q55" i="82"/>
  <c r="T55" i="82" s="1"/>
  <c r="Q26" i="80"/>
  <c r="Q53" i="80"/>
  <c r="T53" i="80" s="1"/>
  <c r="Q5" i="80"/>
  <c r="T5" i="80" s="1"/>
  <c r="Q33" i="82"/>
  <c r="T33" i="82" s="1"/>
  <c r="Q9" i="82"/>
  <c r="T9" i="82" s="1"/>
  <c r="Q6" i="82"/>
  <c r="T6" i="82" s="1"/>
  <c r="Q53" i="82"/>
  <c r="T53" i="82" s="1"/>
  <c r="Q76" i="82"/>
  <c r="T76" i="82" s="1"/>
  <c r="Q75" i="82"/>
  <c r="T75" i="82" s="1"/>
  <c r="Q46" i="82"/>
  <c r="T46" i="82" s="1"/>
  <c r="Q17" i="82"/>
  <c r="T17" i="82" s="1"/>
  <c r="Q44" i="82"/>
  <c r="T44" i="82" s="1"/>
  <c r="Q38" i="82"/>
  <c r="T38" i="82" s="1"/>
  <c r="Q29" i="82"/>
  <c r="T29" i="82" s="1"/>
  <c r="Q47" i="82"/>
  <c r="T47" i="82" s="1"/>
  <c r="Q70" i="80"/>
  <c r="T70" i="80" s="1"/>
  <c r="Q13" i="82"/>
  <c r="T13" i="82" s="1"/>
  <c r="Q72" i="82"/>
  <c r="T72" i="82" s="1"/>
  <c r="Q44" i="80"/>
  <c r="T44" i="80" s="1"/>
  <c r="Q63" i="82"/>
  <c r="T63" i="82" s="1"/>
  <c r="Q32" i="82"/>
  <c r="T32" i="82" s="1"/>
  <c r="Q62" i="82"/>
  <c r="T62" i="82" s="1"/>
  <c r="Q10" i="80"/>
  <c r="T10" i="80" s="1"/>
  <c r="Q59" i="82"/>
  <c r="T59" i="82" s="1"/>
  <c r="Q10" i="82"/>
  <c r="T10" i="82" s="1"/>
  <c r="Q73" i="82"/>
  <c r="T73" i="82" s="1"/>
  <c r="Q16" i="80"/>
  <c r="T16" i="80" s="1"/>
  <c r="Q48" i="82"/>
  <c r="T48" i="82" s="1"/>
  <c r="Q15" i="82"/>
  <c r="T15" i="82" s="1"/>
  <c r="Q31" i="80"/>
  <c r="T31" i="80" s="1"/>
  <c r="Q37" i="80"/>
  <c r="Q74" i="82"/>
  <c r="T74" i="82" s="1"/>
  <c r="Q16" i="82"/>
  <c r="T16" i="82" s="1"/>
  <c r="Q30" i="80"/>
  <c r="T30" i="80" s="1"/>
  <c r="Q11" i="82"/>
  <c r="T11" i="82" s="1"/>
  <c r="Q55" i="80"/>
  <c r="T55" i="80" s="1"/>
  <c r="Q68" i="80"/>
  <c r="T68" i="80" s="1"/>
  <c r="Q52" i="82"/>
  <c r="T52" i="82" s="1"/>
  <c r="Q33" i="80"/>
  <c r="T33" i="80" s="1"/>
  <c r="Q20" i="82"/>
  <c r="T20" i="82" s="1"/>
  <c r="Q50" i="82"/>
  <c r="T50" i="82" s="1"/>
  <c r="Q57" i="82"/>
  <c r="T57" i="82" s="1"/>
  <c r="Q23" i="80"/>
  <c r="T23" i="80" s="1"/>
  <c r="Q67" i="80"/>
  <c r="T67" i="80" s="1"/>
  <c r="Q65" i="80"/>
  <c r="T65" i="80" s="1"/>
  <c r="Q30" i="82"/>
  <c r="T30" i="82" s="1"/>
  <c r="Q6" i="80"/>
  <c r="T6" i="80" s="1"/>
  <c r="Q54" i="82"/>
  <c r="T54" i="82" s="1"/>
  <c r="Q39" i="82"/>
  <c r="T39" i="82" s="1"/>
  <c r="Q56" i="82"/>
  <c r="T56" i="82" s="1"/>
  <c r="Q17" i="80"/>
  <c r="Q35" i="82"/>
  <c r="T35" i="82" s="1"/>
  <c r="Q8" i="80"/>
  <c r="T8" i="80" s="1"/>
  <c r="Q46" i="80"/>
  <c r="T46" i="80" s="1"/>
  <c r="Q36" i="82"/>
  <c r="T36" i="82" s="1"/>
  <c r="Q49" i="82"/>
  <c r="T49" i="82" s="1"/>
  <c r="Q70" i="82"/>
  <c r="T70" i="82" s="1"/>
  <c r="Q75" i="80"/>
  <c r="T75" i="80" s="1"/>
  <c r="Q28" i="82"/>
  <c r="T28" i="82" s="1"/>
  <c r="Q63" i="80"/>
  <c r="T63" i="80" s="1"/>
  <c r="Q13" i="80"/>
  <c r="T13" i="80" s="1"/>
  <c r="Q29" i="80"/>
  <c r="T29" i="80" s="1"/>
  <c r="Q43" i="82"/>
  <c r="T43" i="82" s="1"/>
  <c r="Q21" i="80"/>
  <c r="T21" i="80" s="1"/>
  <c r="Q25" i="80"/>
  <c r="T25" i="80" s="1"/>
  <c r="Q69" i="80"/>
  <c r="T69" i="80" s="1"/>
  <c r="Q68" i="82"/>
  <c r="T68" i="82" s="1"/>
  <c r="Q8" i="82"/>
  <c r="T8" i="82" s="1"/>
  <c r="Q25" i="82"/>
  <c r="T25" i="82" s="1"/>
  <c r="Q42" i="82"/>
  <c r="T42" i="82" s="1"/>
  <c r="O34" i="82"/>
  <c r="Q45" i="82"/>
  <c r="T45" i="82" s="1"/>
  <c r="Q24" i="80"/>
  <c r="T24" i="80" s="1"/>
  <c r="Q49" i="80"/>
  <c r="T49" i="80" s="1"/>
  <c r="O5" i="82"/>
  <c r="O66" i="82"/>
  <c r="Q34" i="82"/>
  <c r="T34" i="82" s="1"/>
  <c r="R45" i="82"/>
  <c r="Q36" i="80"/>
  <c r="T36" i="80" s="1"/>
  <c r="Q66" i="82"/>
  <c r="T66" i="82" s="1"/>
  <c r="O28" i="80"/>
  <c r="O62" i="80"/>
  <c r="O41" i="82"/>
  <c r="O51" i="82"/>
  <c r="O59" i="82"/>
  <c r="O52" i="80"/>
  <c r="O7" i="82"/>
  <c r="Q26" i="82"/>
  <c r="T26" i="82" s="1"/>
  <c r="Q41" i="82"/>
  <c r="T41" i="82" s="1"/>
  <c r="Q51" i="82"/>
  <c r="T51" i="82" s="1"/>
  <c r="Q62" i="80"/>
  <c r="T62" i="80" s="1"/>
  <c r="Q19" i="82"/>
  <c r="T19" i="82" s="1"/>
  <c r="O48" i="80"/>
  <c r="Q2" i="82"/>
  <c r="T2" i="82" s="1"/>
  <c r="Q58" i="82"/>
  <c r="T58" i="82" s="1"/>
  <c r="Q47" i="80"/>
  <c r="Q35" i="80"/>
  <c r="T35" i="80" s="1"/>
  <c r="Q40" i="80"/>
  <c r="T40" i="80" s="1"/>
  <c r="O58" i="82"/>
  <c r="O7" i="80"/>
  <c r="O38" i="80"/>
  <c r="E25" i="97" s="1"/>
  <c r="O64" i="80"/>
  <c r="O54" i="80"/>
  <c r="O2" i="82"/>
  <c r="Q7" i="82"/>
  <c r="T7" i="82" s="1"/>
  <c r="O21" i="82"/>
  <c r="Q7" i="80"/>
  <c r="T7" i="80" s="1"/>
  <c r="O42" i="80"/>
  <c r="Q64" i="80"/>
  <c r="T64" i="80" s="1"/>
  <c r="O42" i="82"/>
  <c r="Q42" i="80"/>
  <c r="T42" i="80" s="1"/>
  <c r="O72" i="80"/>
  <c r="O15" i="80"/>
  <c r="E21" i="97" s="1"/>
  <c r="P45" i="82"/>
  <c r="Q14" i="80"/>
  <c r="T14" i="80" s="1"/>
  <c r="Q60" i="80"/>
  <c r="T60" i="80" s="1"/>
  <c r="Q72" i="80"/>
  <c r="T72" i="80" s="1"/>
  <c r="Q73" i="80"/>
  <c r="T73" i="80" s="1"/>
  <c r="Q15" i="80"/>
  <c r="Q54" i="80"/>
  <c r="T54" i="80" s="1"/>
  <c r="Q28" i="80"/>
  <c r="T28" i="80" s="1"/>
  <c r="O18" i="80"/>
  <c r="Q38" i="80"/>
  <c r="O73" i="80"/>
  <c r="Q48" i="80"/>
  <c r="T48" i="80" s="1"/>
  <c r="O43" i="80"/>
  <c r="O50" i="80"/>
  <c r="O57" i="80"/>
  <c r="O32" i="80"/>
  <c r="Q19" i="80"/>
  <c r="T19" i="80" s="1"/>
  <c r="Q11" i="80"/>
  <c r="T11" i="80" s="1"/>
  <c r="Q50" i="80"/>
  <c r="T50" i="80" s="1"/>
  <c r="Q57" i="80"/>
  <c r="T57" i="80" s="1"/>
  <c r="O19" i="80"/>
  <c r="O11" i="80"/>
  <c r="Q32" i="80"/>
  <c r="T32" i="80" s="1"/>
  <c r="Q43" i="80"/>
  <c r="T43" i="80" s="1"/>
  <c r="O45" i="80"/>
  <c r="O34" i="80"/>
  <c r="O76" i="80"/>
  <c r="O14" i="80"/>
  <c r="Q45" i="80"/>
  <c r="T45" i="80" s="1"/>
  <c r="O33" i="80"/>
  <c r="Q34" i="80"/>
  <c r="T34" i="80" s="1"/>
  <c r="O35" i="80"/>
  <c r="O70" i="80"/>
  <c r="Q4" i="80"/>
  <c r="Q76" i="80"/>
  <c r="T76" i="80" s="1"/>
  <c r="Q51" i="80"/>
  <c r="T51" i="80" s="1"/>
  <c r="O41" i="80"/>
  <c r="O27" i="80"/>
  <c r="O22" i="80"/>
  <c r="O23" i="80"/>
  <c r="P22" i="80"/>
  <c r="Q18" i="80"/>
  <c r="T18" i="80" s="1"/>
  <c r="Q41" i="80"/>
  <c r="T41" i="80" s="1"/>
  <c r="Q27" i="80"/>
  <c r="T27" i="80" s="1"/>
  <c r="O36" i="80"/>
  <c r="Q74" i="80"/>
  <c r="T74" i="80" s="1"/>
  <c r="O60" i="80"/>
  <c r="Q59" i="80"/>
  <c r="T59" i="80" s="1"/>
  <c r="Q22" i="80"/>
  <c r="T22" i="80" s="1"/>
  <c r="O40" i="80"/>
  <c r="O51" i="80"/>
  <c r="Q52" i="80"/>
  <c r="T52" i="80" s="1"/>
  <c r="O74" i="80"/>
  <c r="R22" i="80"/>
  <c r="O12" i="80"/>
  <c r="Q12" i="80"/>
  <c r="T12" i="80" s="1"/>
  <c r="O27" i="82"/>
  <c r="O25" i="82"/>
  <c r="O17" i="82"/>
  <c r="Q21" i="82"/>
  <c r="T21" i="82" s="1"/>
  <c r="Q27" i="82"/>
  <c r="T27" i="82" s="1"/>
  <c r="Q5" i="82"/>
  <c r="T5" i="82" s="1"/>
  <c r="O11" i="82"/>
  <c r="O69" i="82"/>
  <c r="O60" i="82"/>
  <c r="O4" i="82"/>
  <c r="O22" i="82"/>
  <c r="Q69" i="82"/>
  <c r="T69" i="82" s="1"/>
  <c r="Q4" i="82"/>
  <c r="T4" i="82" s="1"/>
  <c r="Q60" i="82"/>
  <c r="T60" i="82" s="1"/>
  <c r="Q22" i="82"/>
  <c r="T22" i="82" s="1"/>
  <c r="O23" i="82"/>
  <c r="O3" i="82"/>
  <c r="Q23" i="82"/>
  <c r="T23" i="82" s="1"/>
  <c r="Q18" i="82"/>
  <c r="T18" i="82" s="1"/>
  <c r="Q3" i="82"/>
  <c r="T3" i="82" s="1"/>
  <c r="S22" i="80"/>
  <c r="S45" i="82"/>
  <c r="D14" i="88"/>
  <c r="I14" i="88" s="1"/>
  <c r="I13" i="88"/>
  <c r="D12" i="88"/>
  <c r="I12" i="88" s="1"/>
  <c r="D11" i="88"/>
  <c r="D10" i="88"/>
  <c r="I10" i="88" s="1"/>
  <c r="D9" i="88"/>
  <c r="H9" i="88" s="1"/>
  <c r="D8" i="88"/>
  <c r="I8" i="88" s="1"/>
  <c r="D7" i="88"/>
  <c r="H7" i="88" s="1"/>
  <c r="D6" i="88"/>
  <c r="I6" i="88" s="1"/>
  <c r="M7" i="88"/>
  <c r="N7" i="88" s="1"/>
  <c r="M8" i="88"/>
  <c r="N8" i="88" s="1"/>
  <c r="O8" i="88" s="1"/>
  <c r="M9" i="88"/>
  <c r="N9" i="88" s="1"/>
  <c r="M10" i="88"/>
  <c r="N10" i="88" s="1"/>
  <c r="M11" i="88"/>
  <c r="N11" i="88" s="1"/>
  <c r="M12" i="88"/>
  <c r="N12" i="88" s="1"/>
  <c r="M13" i="88"/>
  <c r="N13" i="88" s="1"/>
  <c r="M14" i="88"/>
  <c r="N14" i="88" s="1"/>
  <c r="M6" i="88"/>
  <c r="N6" i="88" s="1"/>
  <c r="J7" i="88"/>
  <c r="K7" i="88" s="1"/>
  <c r="J8" i="88"/>
  <c r="K8" i="88" s="1"/>
  <c r="J9" i="88"/>
  <c r="K9" i="88" s="1"/>
  <c r="J10" i="88"/>
  <c r="K10" i="88" s="1"/>
  <c r="J11" i="88"/>
  <c r="K11" i="88" s="1"/>
  <c r="J12" i="88"/>
  <c r="K12" i="88" s="1"/>
  <c r="J13" i="88"/>
  <c r="K13" i="88" s="1"/>
  <c r="J14" i="88"/>
  <c r="K14" i="88" s="1"/>
  <c r="J6" i="88"/>
  <c r="K6" i="88" s="1"/>
  <c r="L6" i="88" s="1"/>
  <c r="C6" i="18"/>
  <c r="I51" i="87"/>
  <c r="F51" i="87"/>
  <c r="I32" i="87"/>
  <c r="F32" i="87"/>
  <c r="I40" i="87"/>
  <c r="F40" i="87"/>
  <c r="I36" i="87"/>
  <c r="F36" i="87"/>
  <c r="I30" i="87"/>
  <c r="F30" i="87"/>
  <c r="I31" i="87"/>
  <c r="F31" i="87"/>
  <c r="I45" i="87"/>
  <c r="F45" i="87"/>
  <c r="I35" i="87"/>
  <c r="F35" i="87"/>
  <c r="I34" i="87"/>
  <c r="F34" i="87"/>
  <c r="I33" i="87"/>
  <c r="F33" i="87"/>
  <c r="I44" i="87"/>
  <c r="F44" i="87"/>
  <c r="I28" i="87"/>
  <c r="F28" i="87"/>
  <c r="I26" i="87"/>
  <c r="F26" i="87"/>
  <c r="I21" i="87"/>
  <c r="F21" i="87"/>
  <c r="I23" i="87"/>
  <c r="F23" i="87"/>
  <c r="I27" i="87"/>
  <c r="F27" i="87"/>
  <c r="I15" i="87"/>
  <c r="F15" i="87"/>
  <c r="I54" i="87"/>
  <c r="F54" i="87"/>
  <c r="I42" i="87"/>
  <c r="F42" i="87"/>
  <c r="I43" i="87"/>
  <c r="F43" i="87"/>
  <c r="I58" i="87"/>
  <c r="F58" i="87"/>
  <c r="I57" i="87"/>
  <c r="F57" i="87"/>
  <c r="I37" i="87"/>
  <c r="F37" i="87"/>
  <c r="I19" i="87"/>
  <c r="F19" i="87"/>
  <c r="I55" i="87"/>
  <c r="F55" i="87"/>
  <c r="I39" i="87"/>
  <c r="F39" i="87"/>
  <c r="I41" i="87"/>
  <c r="F41" i="87"/>
  <c r="I46" i="87"/>
  <c r="F46" i="87"/>
  <c r="I52" i="87"/>
  <c r="F52" i="87"/>
  <c r="I53" i="87"/>
  <c r="F53" i="87"/>
  <c r="I47" i="87"/>
  <c r="F47" i="87"/>
  <c r="I29" i="87"/>
  <c r="F29" i="87"/>
  <c r="I62" i="87"/>
  <c r="F62" i="87"/>
  <c r="I49" i="87"/>
  <c r="F49" i="87"/>
  <c r="I25" i="87"/>
  <c r="F25" i="87"/>
  <c r="I38" i="87"/>
  <c r="F38" i="87"/>
  <c r="I12" i="87"/>
  <c r="F12" i="87"/>
  <c r="I22" i="87"/>
  <c r="F22" i="87"/>
  <c r="I50" i="87"/>
  <c r="F50" i="87"/>
  <c r="I17" i="87"/>
  <c r="F17" i="87"/>
  <c r="I63" i="87"/>
  <c r="F63" i="87"/>
  <c r="I24" i="87"/>
  <c r="F24" i="87"/>
  <c r="I48" i="87"/>
  <c r="F48" i="87"/>
  <c r="I9" i="87"/>
  <c r="F9" i="87"/>
  <c r="I64" i="87"/>
  <c r="F64" i="87"/>
  <c r="I59" i="87"/>
  <c r="F59" i="87"/>
  <c r="I11" i="87"/>
  <c r="F11" i="87"/>
  <c r="I56" i="87"/>
  <c r="F56" i="87"/>
  <c r="I16" i="87"/>
  <c r="F16" i="87"/>
  <c r="I8" i="87"/>
  <c r="F8" i="87"/>
  <c r="I10" i="87"/>
  <c r="F10" i="87"/>
  <c r="I4" i="87"/>
  <c r="F4" i="87"/>
  <c r="I2" i="87"/>
  <c r="F2" i="87"/>
  <c r="I66" i="87"/>
  <c r="F66" i="87"/>
  <c r="I73" i="87"/>
  <c r="F73" i="87"/>
  <c r="I61" i="87"/>
  <c r="F61" i="87"/>
  <c r="I13" i="87"/>
  <c r="F13" i="87"/>
  <c r="I20" i="87"/>
  <c r="F20" i="87"/>
  <c r="I71" i="87"/>
  <c r="F71" i="87"/>
  <c r="I3" i="87"/>
  <c r="F3" i="87"/>
  <c r="I65" i="87"/>
  <c r="F65" i="87"/>
  <c r="I60" i="87"/>
  <c r="F60" i="87"/>
  <c r="I70" i="87"/>
  <c r="F70" i="87"/>
  <c r="I72" i="87"/>
  <c r="F72" i="87"/>
  <c r="I68" i="87"/>
  <c r="F68" i="87"/>
  <c r="I6" i="87"/>
  <c r="F6" i="87"/>
  <c r="I74" i="87"/>
  <c r="F74" i="87"/>
  <c r="I14" i="87"/>
  <c r="F14" i="87"/>
  <c r="I69" i="87"/>
  <c r="F69" i="87"/>
  <c r="I76" i="87"/>
  <c r="F76" i="87"/>
  <c r="I7" i="87"/>
  <c r="F7" i="87"/>
  <c r="I67" i="87"/>
  <c r="F67" i="87"/>
  <c r="I75" i="87"/>
  <c r="F75" i="87"/>
  <c r="I18" i="87"/>
  <c r="F18" i="87"/>
  <c r="I5" i="87"/>
  <c r="F5" i="87"/>
  <c r="I11" i="86"/>
  <c r="F11" i="86"/>
  <c r="I75" i="86"/>
  <c r="F75" i="86"/>
  <c r="I76" i="86"/>
  <c r="F76" i="86"/>
  <c r="I72" i="86"/>
  <c r="F72" i="86"/>
  <c r="I69" i="86"/>
  <c r="F69" i="86"/>
  <c r="I70" i="86"/>
  <c r="F70" i="86"/>
  <c r="I68" i="86"/>
  <c r="F68" i="86"/>
  <c r="I67" i="86"/>
  <c r="F67" i="86"/>
  <c r="I71" i="86"/>
  <c r="F71" i="86"/>
  <c r="I65" i="86"/>
  <c r="F65" i="86"/>
  <c r="I73" i="86"/>
  <c r="F73" i="86"/>
  <c r="I74" i="86"/>
  <c r="F74" i="86"/>
  <c r="I63" i="86"/>
  <c r="F63" i="86"/>
  <c r="I59" i="86"/>
  <c r="F59" i="86"/>
  <c r="I61" i="86"/>
  <c r="F61" i="86"/>
  <c r="I55" i="86"/>
  <c r="F55" i="86"/>
  <c r="I66" i="86"/>
  <c r="F66" i="86"/>
  <c r="I41" i="86"/>
  <c r="F41" i="86"/>
  <c r="I62" i="86"/>
  <c r="F62" i="86"/>
  <c r="I58" i="86"/>
  <c r="F58" i="86"/>
  <c r="I43" i="86"/>
  <c r="F43" i="86"/>
  <c r="I64" i="86"/>
  <c r="F64" i="86"/>
  <c r="I60" i="86"/>
  <c r="F60" i="86"/>
  <c r="I53" i="86"/>
  <c r="F53" i="86"/>
  <c r="I57" i="86"/>
  <c r="F57" i="86"/>
  <c r="I33" i="86"/>
  <c r="F33" i="86"/>
  <c r="I14" i="86"/>
  <c r="F14" i="86"/>
  <c r="I54" i="86"/>
  <c r="F54" i="86"/>
  <c r="I50" i="86"/>
  <c r="F50" i="86"/>
  <c r="I36" i="86"/>
  <c r="F36" i="86"/>
  <c r="I52" i="86"/>
  <c r="F52" i="86"/>
  <c r="I44" i="86"/>
  <c r="F44" i="86"/>
  <c r="I18" i="86"/>
  <c r="F18" i="86"/>
  <c r="I42" i="86"/>
  <c r="F42" i="86"/>
  <c r="I37" i="86"/>
  <c r="F37" i="86"/>
  <c r="I56" i="86"/>
  <c r="F56" i="86"/>
  <c r="I49" i="86"/>
  <c r="F49" i="86"/>
  <c r="I30" i="86"/>
  <c r="F30" i="86"/>
  <c r="I48" i="86"/>
  <c r="F48" i="86"/>
  <c r="I45" i="86"/>
  <c r="F45" i="86"/>
  <c r="I28" i="86"/>
  <c r="F28" i="86"/>
  <c r="I39" i="86"/>
  <c r="F39" i="86"/>
  <c r="I35" i="86"/>
  <c r="F35" i="86"/>
  <c r="I32" i="86"/>
  <c r="F32" i="86"/>
  <c r="I22" i="86"/>
  <c r="F22" i="86"/>
  <c r="I31" i="86"/>
  <c r="F31" i="86"/>
  <c r="I19" i="86"/>
  <c r="F19" i="86"/>
  <c r="I51" i="86"/>
  <c r="F51" i="86"/>
  <c r="I46" i="86"/>
  <c r="F46" i="86"/>
  <c r="I20" i="86"/>
  <c r="F20" i="86"/>
  <c r="I25" i="86"/>
  <c r="F25" i="86"/>
  <c r="I23" i="86"/>
  <c r="F23" i="86"/>
  <c r="I7" i="86"/>
  <c r="F7" i="86"/>
  <c r="I8" i="86"/>
  <c r="F8" i="86"/>
  <c r="I12" i="86"/>
  <c r="F12" i="86"/>
  <c r="I5" i="86"/>
  <c r="F5" i="86"/>
  <c r="I40" i="86"/>
  <c r="F40" i="86"/>
  <c r="I34" i="86"/>
  <c r="F34" i="86"/>
  <c r="I26" i="86"/>
  <c r="F26" i="86"/>
  <c r="I13" i="86"/>
  <c r="F13" i="86"/>
  <c r="I17" i="86"/>
  <c r="F17" i="86"/>
  <c r="I21" i="86"/>
  <c r="F21" i="86"/>
  <c r="I3" i="86"/>
  <c r="F3" i="86"/>
  <c r="I47" i="86"/>
  <c r="F47" i="86"/>
  <c r="I29" i="86"/>
  <c r="F29" i="86"/>
  <c r="I38" i="86"/>
  <c r="F38" i="86"/>
  <c r="I15" i="86"/>
  <c r="F15" i="86"/>
  <c r="I2" i="86"/>
  <c r="F2" i="86"/>
  <c r="I27" i="86"/>
  <c r="F27" i="86"/>
  <c r="I6" i="86"/>
  <c r="F6" i="86"/>
  <c r="I9" i="86"/>
  <c r="F9" i="86"/>
  <c r="I24" i="86"/>
  <c r="F24" i="86"/>
  <c r="I10" i="86"/>
  <c r="F10" i="86"/>
  <c r="I16" i="86"/>
  <c r="F16" i="86"/>
  <c r="I4" i="86"/>
  <c r="F4" i="86"/>
  <c r="I38" i="85"/>
  <c r="F38" i="85"/>
  <c r="I39" i="85"/>
  <c r="F39" i="85"/>
  <c r="I29" i="85"/>
  <c r="F29" i="85"/>
  <c r="I57" i="85"/>
  <c r="F57" i="85"/>
  <c r="I28" i="85"/>
  <c r="F28" i="85"/>
  <c r="I19" i="85"/>
  <c r="F19" i="85"/>
  <c r="I37" i="85"/>
  <c r="F37" i="85"/>
  <c r="I23" i="85"/>
  <c r="F23" i="85"/>
  <c r="I25" i="85"/>
  <c r="F25" i="85"/>
  <c r="I24" i="85"/>
  <c r="F24" i="85"/>
  <c r="I36" i="85"/>
  <c r="F36" i="85"/>
  <c r="I35" i="85"/>
  <c r="F35" i="85"/>
  <c r="I31" i="85"/>
  <c r="F31" i="85"/>
  <c r="I48" i="85"/>
  <c r="F48" i="85"/>
  <c r="I30" i="85"/>
  <c r="F30" i="85"/>
  <c r="I26" i="85"/>
  <c r="F26" i="85"/>
  <c r="I7" i="85"/>
  <c r="F7" i="85"/>
  <c r="I55" i="85"/>
  <c r="F55" i="85"/>
  <c r="I21" i="85"/>
  <c r="F21" i="85"/>
  <c r="I47" i="85"/>
  <c r="F47" i="85"/>
  <c r="I44" i="85"/>
  <c r="F44" i="85"/>
  <c r="I10" i="85"/>
  <c r="F10" i="85"/>
  <c r="I71" i="85"/>
  <c r="F71" i="85"/>
  <c r="I50" i="85"/>
  <c r="F50" i="85"/>
  <c r="I40" i="85"/>
  <c r="F40" i="85"/>
  <c r="I15" i="85"/>
  <c r="F15" i="85"/>
  <c r="I49" i="85"/>
  <c r="F49" i="85"/>
  <c r="I68" i="85"/>
  <c r="F68" i="85"/>
  <c r="I17" i="85"/>
  <c r="F17" i="85"/>
  <c r="I22" i="85"/>
  <c r="F22" i="85"/>
  <c r="I6" i="85"/>
  <c r="F6" i="85"/>
  <c r="I12" i="85"/>
  <c r="F12" i="85"/>
  <c r="I8" i="85"/>
  <c r="F8" i="85"/>
  <c r="I65" i="85"/>
  <c r="F65" i="85"/>
  <c r="I43" i="85"/>
  <c r="F43" i="85"/>
  <c r="I45" i="85"/>
  <c r="F45" i="85"/>
  <c r="I54" i="85"/>
  <c r="F54" i="85"/>
  <c r="I70" i="85"/>
  <c r="F70" i="85"/>
  <c r="I9" i="85"/>
  <c r="F9" i="85"/>
  <c r="I64" i="85"/>
  <c r="F64" i="85"/>
  <c r="I76" i="85"/>
  <c r="F76" i="85"/>
  <c r="I61" i="85"/>
  <c r="F61" i="85"/>
  <c r="I4" i="85"/>
  <c r="F4" i="85"/>
  <c r="I74" i="85"/>
  <c r="F74" i="85"/>
  <c r="I33" i="85"/>
  <c r="F33" i="85"/>
  <c r="I32" i="85"/>
  <c r="F32" i="85"/>
  <c r="I18" i="85"/>
  <c r="F18" i="85"/>
  <c r="I60" i="85"/>
  <c r="F60" i="85"/>
  <c r="I67" i="85"/>
  <c r="F67" i="85"/>
  <c r="I75" i="85"/>
  <c r="F75" i="85"/>
  <c r="I51" i="85"/>
  <c r="F51" i="85"/>
  <c r="I52" i="85"/>
  <c r="F52" i="85"/>
  <c r="I11" i="85"/>
  <c r="F11" i="85"/>
  <c r="I34" i="85"/>
  <c r="F34" i="85"/>
  <c r="I16" i="85"/>
  <c r="F16" i="85"/>
  <c r="I20" i="85"/>
  <c r="F20" i="85"/>
  <c r="I42" i="85"/>
  <c r="F42" i="85"/>
  <c r="I63" i="85"/>
  <c r="F63" i="85"/>
  <c r="I58" i="85"/>
  <c r="F58" i="85"/>
  <c r="I2" i="85"/>
  <c r="F2" i="85"/>
  <c r="I73" i="85"/>
  <c r="F73" i="85"/>
  <c r="I3" i="85"/>
  <c r="F3" i="85"/>
  <c r="I62" i="85"/>
  <c r="F62" i="85"/>
  <c r="I46" i="85"/>
  <c r="F46" i="85"/>
  <c r="I66" i="85"/>
  <c r="F66" i="85"/>
  <c r="I27" i="85"/>
  <c r="F27" i="85"/>
  <c r="I14" i="85"/>
  <c r="F14" i="85"/>
  <c r="I13" i="85"/>
  <c r="F13" i="85"/>
  <c r="I59" i="85"/>
  <c r="F59" i="85"/>
  <c r="I72" i="85"/>
  <c r="F72" i="85"/>
  <c r="I5" i="85"/>
  <c r="F5" i="85"/>
  <c r="I56" i="85"/>
  <c r="F56" i="85"/>
  <c r="I41" i="85"/>
  <c r="F41" i="85"/>
  <c r="I53" i="85"/>
  <c r="F53" i="85"/>
  <c r="I69" i="85"/>
  <c r="F69" i="85"/>
  <c r="I11" i="84"/>
  <c r="F11" i="84"/>
  <c r="I2" i="84"/>
  <c r="F2" i="84"/>
  <c r="I68" i="84"/>
  <c r="F68" i="84"/>
  <c r="I15" i="84"/>
  <c r="F15" i="84"/>
  <c r="I43" i="84"/>
  <c r="F43" i="84"/>
  <c r="I12" i="84"/>
  <c r="F12" i="84"/>
  <c r="I40" i="84"/>
  <c r="F40" i="84"/>
  <c r="I35" i="84"/>
  <c r="F35" i="84"/>
  <c r="I33" i="84"/>
  <c r="F33" i="84"/>
  <c r="I38" i="84"/>
  <c r="F38" i="84"/>
  <c r="I37" i="84"/>
  <c r="F37" i="84"/>
  <c r="I44" i="84"/>
  <c r="F44" i="84"/>
  <c r="I19" i="84"/>
  <c r="F19" i="84"/>
  <c r="I49" i="84"/>
  <c r="F49" i="84"/>
  <c r="I30" i="84"/>
  <c r="F30" i="84"/>
  <c r="I42" i="84"/>
  <c r="F42" i="84"/>
  <c r="I39" i="84"/>
  <c r="F39" i="84"/>
  <c r="I67" i="84"/>
  <c r="F67" i="84"/>
  <c r="I58" i="84"/>
  <c r="F58" i="84"/>
  <c r="I31" i="84"/>
  <c r="F31" i="84"/>
  <c r="I74" i="84"/>
  <c r="F74" i="84"/>
  <c r="I50" i="84"/>
  <c r="F50" i="84"/>
  <c r="I41" i="84"/>
  <c r="F41" i="84"/>
  <c r="I34" i="84"/>
  <c r="F34" i="84"/>
  <c r="I76" i="84"/>
  <c r="F76" i="84"/>
  <c r="I54" i="84"/>
  <c r="F54" i="84"/>
  <c r="I25" i="84"/>
  <c r="F25" i="84"/>
  <c r="I4" i="84"/>
  <c r="F4" i="84"/>
  <c r="I14" i="84"/>
  <c r="F14" i="84"/>
  <c r="I73" i="84"/>
  <c r="F73" i="84"/>
  <c r="I23" i="84"/>
  <c r="F23" i="84"/>
  <c r="I21" i="84"/>
  <c r="F21" i="84"/>
  <c r="I61" i="84"/>
  <c r="F61" i="84"/>
  <c r="I48" i="84"/>
  <c r="F48" i="84"/>
  <c r="I55" i="84"/>
  <c r="F55" i="84"/>
  <c r="I26" i="84"/>
  <c r="F26" i="84"/>
  <c r="I20" i="84"/>
  <c r="F20" i="84"/>
  <c r="I32" i="84"/>
  <c r="F32" i="84"/>
  <c r="I47" i="84"/>
  <c r="F47" i="84"/>
  <c r="I46" i="84"/>
  <c r="F46" i="84"/>
  <c r="I57" i="84"/>
  <c r="F57" i="84"/>
  <c r="I28" i="84"/>
  <c r="F28" i="84"/>
  <c r="I64" i="84"/>
  <c r="F64" i="84"/>
  <c r="I8" i="84"/>
  <c r="F8" i="84"/>
  <c r="I3" i="84"/>
  <c r="F3" i="84"/>
  <c r="I24" i="84"/>
  <c r="F24" i="84"/>
  <c r="I9" i="84"/>
  <c r="F9" i="84"/>
  <c r="I70" i="84"/>
  <c r="F70" i="84"/>
  <c r="I60" i="84"/>
  <c r="F60" i="84"/>
  <c r="I75" i="84"/>
  <c r="F75" i="84"/>
  <c r="I45" i="84"/>
  <c r="F45" i="84"/>
  <c r="I66" i="84"/>
  <c r="F66" i="84"/>
  <c r="I22" i="84"/>
  <c r="F22" i="84"/>
  <c r="I10" i="84"/>
  <c r="F10" i="84"/>
  <c r="I63" i="84"/>
  <c r="F63" i="84"/>
  <c r="I56" i="84"/>
  <c r="F56" i="84"/>
  <c r="I29" i="84"/>
  <c r="F29" i="84"/>
  <c r="I36" i="84"/>
  <c r="F36" i="84"/>
  <c r="I18" i="84"/>
  <c r="F18" i="84"/>
  <c r="I59" i="84"/>
  <c r="F59" i="84"/>
  <c r="I65" i="84"/>
  <c r="F65" i="84"/>
  <c r="I5" i="84"/>
  <c r="F5" i="84"/>
  <c r="I6" i="84"/>
  <c r="F6" i="84"/>
  <c r="I13" i="84"/>
  <c r="F13" i="84"/>
  <c r="I71" i="84"/>
  <c r="F71" i="84"/>
  <c r="I53" i="84"/>
  <c r="F53" i="84"/>
  <c r="I69" i="84"/>
  <c r="F69" i="84"/>
  <c r="I16" i="84"/>
  <c r="F16" i="84"/>
  <c r="I51" i="84"/>
  <c r="F51" i="84"/>
  <c r="I7" i="84"/>
  <c r="F7" i="84"/>
  <c r="I27" i="84"/>
  <c r="F27" i="84"/>
  <c r="I17" i="84"/>
  <c r="F17" i="84"/>
  <c r="I52" i="84"/>
  <c r="F52" i="84"/>
  <c r="I72" i="84"/>
  <c r="F72" i="84"/>
  <c r="I62" i="84"/>
  <c r="F62" i="84"/>
  <c r="I27" i="83"/>
  <c r="F27" i="83"/>
  <c r="I29" i="83"/>
  <c r="F29" i="83"/>
  <c r="I25" i="83"/>
  <c r="F25" i="83"/>
  <c r="I28" i="83"/>
  <c r="F28" i="83"/>
  <c r="I33" i="83"/>
  <c r="F33" i="83"/>
  <c r="I24" i="83"/>
  <c r="F24" i="83"/>
  <c r="I26" i="83"/>
  <c r="F26" i="83"/>
  <c r="I23" i="83"/>
  <c r="F23" i="83"/>
  <c r="I40" i="83"/>
  <c r="F40" i="83"/>
  <c r="I37" i="83"/>
  <c r="F37" i="83"/>
  <c r="I41" i="83"/>
  <c r="F41" i="83"/>
  <c r="I34" i="83"/>
  <c r="F34" i="83"/>
  <c r="I30" i="83"/>
  <c r="F30" i="83"/>
  <c r="I47" i="83"/>
  <c r="F47" i="83"/>
  <c r="I38" i="83"/>
  <c r="F38" i="83"/>
  <c r="I31" i="83"/>
  <c r="F31" i="83"/>
  <c r="I14" i="83"/>
  <c r="F14" i="83"/>
  <c r="I36" i="83"/>
  <c r="F36" i="83"/>
  <c r="I45" i="83"/>
  <c r="F45" i="83"/>
  <c r="I10" i="83"/>
  <c r="F10" i="83"/>
  <c r="I74" i="83"/>
  <c r="F74" i="83"/>
  <c r="I43" i="83"/>
  <c r="F43" i="83"/>
  <c r="I42" i="83"/>
  <c r="F42" i="83"/>
  <c r="I21" i="83"/>
  <c r="F21" i="83"/>
  <c r="I13" i="83"/>
  <c r="F13" i="83"/>
  <c r="I50" i="83"/>
  <c r="F50" i="83"/>
  <c r="I35" i="83"/>
  <c r="F35" i="83"/>
  <c r="I52" i="83"/>
  <c r="F52" i="83"/>
  <c r="I22" i="83"/>
  <c r="F22" i="83"/>
  <c r="I44" i="83"/>
  <c r="F44" i="83"/>
  <c r="I9" i="83"/>
  <c r="F9" i="83"/>
  <c r="I12" i="83"/>
  <c r="F12" i="83"/>
  <c r="I56" i="83"/>
  <c r="F56" i="83"/>
  <c r="I48" i="83"/>
  <c r="F48" i="83"/>
  <c r="I7" i="83"/>
  <c r="F7" i="83"/>
  <c r="I17" i="83"/>
  <c r="F17" i="83"/>
  <c r="I15" i="83"/>
  <c r="F15" i="83"/>
  <c r="I8" i="83"/>
  <c r="F8" i="83"/>
  <c r="I62" i="83"/>
  <c r="F62" i="83"/>
  <c r="I18" i="83"/>
  <c r="F18" i="83"/>
  <c r="I2" i="83"/>
  <c r="F2" i="83"/>
  <c r="I55" i="83"/>
  <c r="F55" i="83"/>
  <c r="I58" i="83"/>
  <c r="F58" i="83"/>
  <c r="I46" i="83"/>
  <c r="F46" i="83"/>
  <c r="I59" i="83"/>
  <c r="F59" i="83"/>
  <c r="I32" i="83"/>
  <c r="F32" i="83"/>
  <c r="I4" i="83"/>
  <c r="F4" i="83"/>
  <c r="I53" i="83"/>
  <c r="F53" i="83"/>
  <c r="I64" i="83"/>
  <c r="F64" i="83"/>
  <c r="I49" i="83"/>
  <c r="F49" i="83"/>
  <c r="I71" i="83"/>
  <c r="F71" i="83"/>
  <c r="I5" i="83"/>
  <c r="F5" i="83"/>
  <c r="I20" i="83"/>
  <c r="F20" i="83"/>
  <c r="I66" i="83"/>
  <c r="F66" i="83"/>
  <c r="I51" i="83"/>
  <c r="F51" i="83"/>
  <c r="I69" i="83"/>
  <c r="F69" i="83"/>
  <c r="I6" i="83"/>
  <c r="F6" i="83"/>
  <c r="I70" i="83"/>
  <c r="F70" i="83"/>
  <c r="I19" i="83"/>
  <c r="F19" i="83"/>
  <c r="I67" i="83"/>
  <c r="F67" i="83"/>
  <c r="I57" i="83"/>
  <c r="F57" i="83"/>
  <c r="I63" i="83"/>
  <c r="F63" i="83"/>
  <c r="I73" i="83"/>
  <c r="F73" i="83"/>
  <c r="I16" i="83"/>
  <c r="F16" i="83"/>
  <c r="I75" i="83"/>
  <c r="F75" i="83"/>
  <c r="I11" i="83"/>
  <c r="F11" i="83"/>
  <c r="I76" i="83"/>
  <c r="F76" i="83"/>
  <c r="I65" i="83"/>
  <c r="F65" i="83"/>
  <c r="I61" i="83"/>
  <c r="F61" i="83"/>
  <c r="I3" i="83"/>
  <c r="F3" i="83"/>
  <c r="I39" i="83"/>
  <c r="F39" i="83"/>
  <c r="I72" i="83"/>
  <c r="F72" i="83"/>
  <c r="I54" i="83"/>
  <c r="F54" i="83"/>
  <c r="I68" i="83"/>
  <c r="F68" i="83"/>
  <c r="I60" i="83"/>
  <c r="F60" i="83"/>
  <c r="I45" i="82"/>
  <c r="F45" i="82"/>
  <c r="I43" i="82"/>
  <c r="F43" i="82"/>
  <c r="I27" i="82"/>
  <c r="F27" i="82"/>
  <c r="I47" i="82"/>
  <c r="F47" i="82"/>
  <c r="I44" i="82"/>
  <c r="F44" i="82"/>
  <c r="I17" i="82"/>
  <c r="F17" i="82"/>
  <c r="I76" i="82"/>
  <c r="F76" i="82"/>
  <c r="I50" i="82"/>
  <c r="F50" i="82"/>
  <c r="I55" i="82"/>
  <c r="F55" i="82"/>
  <c r="I34" i="82"/>
  <c r="F34" i="82"/>
  <c r="I57" i="82"/>
  <c r="F57" i="82"/>
  <c r="I11" i="82"/>
  <c r="F11" i="82"/>
  <c r="I15" i="82"/>
  <c r="F15" i="82"/>
  <c r="I3" i="82"/>
  <c r="F3" i="82"/>
  <c r="I22" i="82"/>
  <c r="F22" i="82"/>
  <c r="I25" i="82"/>
  <c r="F25" i="82"/>
  <c r="I8" i="82"/>
  <c r="F8" i="82"/>
  <c r="I75" i="82"/>
  <c r="F75" i="82"/>
  <c r="I31" i="82"/>
  <c r="F31" i="82"/>
  <c r="I49" i="82"/>
  <c r="F49" i="82"/>
  <c r="I39" i="82"/>
  <c r="F39" i="82"/>
  <c r="I30" i="82"/>
  <c r="F30" i="82"/>
  <c r="I58" i="82"/>
  <c r="F58" i="82"/>
  <c r="I70" i="82"/>
  <c r="F70" i="82"/>
  <c r="I16" i="82"/>
  <c r="F16" i="82"/>
  <c r="I59" i="82"/>
  <c r="F59" i="82"/>
  <c r="I35" i="82"/>
  <c r="F35" i="82"/>
  <c r="I72" i="82"/>
  <c r="F72" i="82"/>
  <c r="I10" i="82"/>
  <c r="F10" i="82"/>
  <c r="I18" i="82"/>
  <c r="F18" i="82"/>
  <c r="I4" i="82"/>
  <c r="F4" i="82"/>
  <c r="I62" i="82"/>
  <c r="F62" i="82"/>
  <c r="I61" i="82"/>
  <c r="F61" i="82"/>
  <c r="I52" i="82"/>
  <c r="F52" i="82"/>
  <c r="I21" i="82"/>
  <c r="F21" i="82"/>
  <c r="I46" i="82"/>
  <c r="F46" i="82"/>
  <c r="I51" i="82"/>
  <c r="F51" i="82"/>
  <c r="I9" i="82"/>
  <c r="F9" i="82"/>
  <c r="I64" i="82"/>
  <c r="F64" i="82"/>
  <c r="I48" i="82"/>
  <c r="F48" i="82"/>
  <c r="I33" i="82"/>
  <c r="F33" i="82"/>
  <c r="I68" i="82"/>
  <c r="F68" i="82"/>
  <c r="I19" i="82"/>
  <c r="F19" i="82"/>
  <c r="I73" i="82"/>
  <c r="F73" i="82"/>
  <c r="I53" i="82"/>
  <c r="F53" i="82"/>
  <c r="I23" i="82"/>
  <c r="F23" i="82"/>
  <c r="I60" i="82"/>
  <c r="F60" i="82"/>
  <c r="I28" i="82"/>
  <c r="F28" i="82"/>
  <c r="I66" i="82"/>
  <c r="F66" i="82"/>
  <c r="I63" i="82"/>
  <c r="F63" i="82"/>
  <c r="I54" i="82"/>
  <c r="F54" i="82"/>
  <c r="I67" i="82"/>
  <c r="F67" i="82"/>
  <c r="I41" i="82"/>
  <c r="F41" i="82"/>
  <c r="I74" i="82"/>
  <c r="F74" i="82"/>
  <c r="I12" i="82"/>
  <c r="F12" i="82"/>
  <c r="I7" i="82"/>
  <c r="F7" i="82"/>
  <c r="I32" i="82"/>
  <c r="F32" i="82"/>
  <c r="I29" i="82"/>
  <c r="F29" i="82"/>
  <c r="I6" i="82"/>
  <c r="F6" i="82"/>
  <c r="I20" i="82"/>
  <c r="F20" i="82"/>
  <c r="I38" i="82"/>
  <c r="F38" i="82"/>
  <c r="I13" i="82"/>
  <c r="F13" i="82"/>
  <c r="I69" i="82"/>
  <c r="F69" i="82"/>
  <c r="I40" i="82"/>
  <c r="F40" i="82"/>
  <c r="I42" i="82"/>
  <c r="F42" i="82"/>
  <c r="I56" i="82"/>
  <c r="F56" i="82"/>
  <c r="I71" i="82"/>
  <c r="F71" i="82"/>
  <c r="I26" i="82"/>
  <c r="F26" i="82"/>
  <c r="I24" i="82"/>
  <c r="F24" i="82"/>
  <c r="I5" i="82"/>
  <c r="F5" i="82"/>
  <c r="I2" i="82"/>
  <c r="F2" i="82"/>
  <c r="I65" i="82"/>
  <c r="F65" i="82"/>
  <c r="I37" i="82"/>
  <c r="F37" i="82"/>
  <c r="I36" i="82"/>
  <c r="F36" i="82"/>
  <c r="I14" i="82"/>
  <c r="F14" i="82"/>
  <c r="I10" i="81"/>
  <c r="F10" i="81"/>
  <c r="I76" i="81"/>
  <c r="F76" i="81"/>
  <c r="I74" i="81"/>
  <c r="F74" i="81"/>
  <c r="I69" i="81"/>
  <c r="F69" i="81"/>
  <c r="I71" i="81"/>
  <c r="F71" i="81"/>
  <c r="I75" i="81"/>
  <c r="F75" i="81"/>
  <c r="I70" i="81"/>
  <c r="F70" i="81"/>
  <c r="I68" i="81"/>
  <c r="F68" i="81"/>
  <c r="I65" i="81"/>
  <c r="F65" i="81"/>
  <c r="I73" i="81"/>
  <c r="F73" i="81"/>
  <c r="I62" i="81"/>
  <c r="F62" i="81"/>
  <c r="I61" i="81"/>
  <c r="F61" i="81"/>
  <c r="I58" i="81"/>
  <c r="F58" i="81"/>
  <c r="I54" i="81"/>
  <c r="F54" i="81"/>
  <c r="I66" i="81"/>
  <c r="F66" i="81"/>
  <c r="I56" i="81"/>
  <c r="F56" i="81"/>
  <c r="I67" i="81"/>
  <c r="F67" i="81"/>
  <c r="I63" i="81"/>
  <c r="F63" i="81"/>
  <c r="I42" i="81"/>
  <c r="F42" i="81"/>
  <c r="I72" i="81"/>
  <c r="F72" i="81"/>
  <c r="I64" i="81"/>
  <c r="F64" i="81"/>
  <c r="I24" i="81"/>
  <c r="F24" i="81"/>
  <c r="I52" i="81"/>
  <c r="F52" i="81"/>
  <c r="I44" i="81"/>
  <c r="F44" i="81"/>
  <c r="I59" i="81"/>
  <c r="F59" i="81"/>
  <c r="I46" i="81"/>
  <c r="F46" i="81"/>
  <c r="I48" i="81"/>
  <c r="F48" i="81"/>
  <c r="I60" i="81"/>
  <c r="F60" i="81"/>
  <c r="I43" i="81"/>
  <c r="F43" i="81"/>
  <c r="I50" i="81"/>
  <c r="F50" i="81"/>
  <c r="I29" i="81"/>
  <c r="F29" i="81"/>
  <c r="I57" i="81"/>
  <c r="F57" i="81"/>
  <c r="I55" i="81"/>
  <c r="F55" i="81"/>
  <c r="I45" i="81"/>
  <c r="F45" i="81"/>
  <c r="I53" i="81"/>
  <c r="F53" i="81"/>
  <c r="I40" i="81"/>
  <c r="F40" i="81"/>
  <c r="I38" i="81"/>
  <c r="F38" i="81"/>
  <c r="I36" i="81"/>
  <c r="F36" i="81"/>
  <c r="I47" i="81"/>
  <c r="F47" i="81"/>
  <c r="I34" i="81"/>
  <c r="F34" i="81"/>
  <c r="I37" i="81"/>
  <c r="F37" i="81"/>
  <c r="I35" i="81"/>
  <c r="F35" i="81"/>
  <c r="I41" i="81"/>
  <c r="F41" i="81"/>
  <c r="I49" i="81"/>
  <c r="F49" i="81"/>
  <c r="I22" i="81"/>
  <c r="F22" i="81"/>
  <c r="I11" i="81"/>
  <c r="F11" i="81"/>
  <c r="I13" i="81"/>
  <c r="F13" i="81"/>
  <c r="I19" i="81"/>
  <c r="F19" i="81"/>
  <c r="I28" i="81"/>
  <c r="F28" i="81"/>
  <c r="I32" i="81"/>
  <c r="F32" i="81"/>
  <c r="I39" i="81"/>
  <c r="F39" i="81"/>
  <c r="I27" i="81"/>
  <c r="F27" i="81"/>
  <c r="I51" i="81"/>
  <c r="F51" i="81"/>
  <c r="I9" i="81"/>
  <c r="F9" i="81"/>
  <c r="I17" i="81"/>
  <c r="F17" i="81"/>
  <c r="I33" i="81"/>
  <c r="F33" i="81"/>
  <c r="I23" i="81"/>
  <c r="F23" i="81"/>
  <c r="I30" i="81"/>
  <c r="F30" i="81"/>
  <c r="I21" i="81"/>
  <c r="F21" i="81"/>
  <c r="I25" i="81"/>
  <c r="F25" i="81"/>
  <c r="I8" i="81"/>
  <c r="F8" i="81"/>
  <c r="I18" i="81"/>
  <c r="F18" i="81"/>
  <c r="I31" i="81"/>
  <c r="F31" i="81"/>
  <c r="I16" i="81"/>
  <c r="F16" i="81"/>
  <c r="I6" i="81"/>
  <c r="F6" i="81"/>
  <c r="I12" i="81"/>
  <c r="F12" i="81"/>
  <c r="I5" i="81"/>
  <c r="F5" i="81"/>
  <c r="I26" i="81"/>
  <c r="F26" i="81"/>
  <c r="I2" i="81"/>
  <c r="F2" i="81"/>
  <c r="I15" i="81"/>
  <c r="F15" i="81"/>
  <c r="I20" i="81"/>
  <c r="F20" i="81"/>
  <c r="I3" i="81"/>
  <c r="F3" i="81"/>
  <c r="I4" i="81"/>
  <c r="F4" i="81"/>
  <c r="I14" i="81"/>
  <c r="F14" i="81"/>
  <c r="I7" i="81"/>
  <c r="F7" i="81"/>
  <c r="I22" i="80"/>
  <c r="F22" i="80"/>
  <c r="I75" i="80"/>
  <c r="F75" i="80"/>
  <c r="I54" i="80"/>
  <c r="F54" i="80"/>
  <c r="I66" i="80"/>
  <c r="F66" i="80"/>
  <c r="I65" i="80"/>
  <c r="F65" i="80"/>
  <c r="I30" i="80"/>
  <c r="F30" i="80"/>
  <c r="I48" i="80"/>
  <c r="F48" i="80"/>
  <c r="I57" i="80"/>
  <c r="F57" i="80"/>
  <c r="I59" i="80"/>
  <c r="F59" i="80"/>
  <c r="I68" i="80"/>
  <c r="F68" i="80"/>
  <c r="I55" i="80"/>
  <c r="F55" i="80"/>
  <c r="I73" i="80"/>
  <c r="F73" i="80"/>
  <c r="I76" i="80"/>
  <c r="F76" i="80"/>
  <c r="I60" i="80"/>
  <c r="F60" i="80"/>
  <c r="I64" i="80"/>
  <c r="F64" i="80"/>
  <c r="I20" i="80"/>
  <c r="F20" i="80"/>
  <c r="I74" i="80"/>
  <c r="F74" i="80"/>
  <c r="I71" i="80"/>
  <c r="F71" i="80"/>
  <c r="I28" i="80"/>
  <c r="F28" i="80"/>
  <c r="I53" i="80"/>
  <c r="F53" i="80"/>
  <c r="I4" i="80"/>
  <c r="F4" i="80"/>
  <c r="I69" i="80"/>
  <c r="F69" i="80"/>
  <c r="I38" i="80"/>
  <c r="F38" i="80"/>
  <c r="I50" i="80"/>
  <c r="F50" i="80"/>
  <c r="I61" i="80"/>
  <c r="F61" i="80"/>
  <c r="I70" i="80"/>
  <c r="F70" i="80"/>
  <c r="I63" i="80"/>
  <c r="F63" i="80"/>
  <c r="I29" i="80"/>
  <c r="F29" i="80"/>
  <c r="I67" i="80"/>
  <c r="F67" i="80"/>
  <c r="I44" i="80"/>
  <c r="F44" i="80"/>
  <c r="I15" i="80"/>
  <c r="F15" i="80"/>
  <c r="I37" i="80"/>
  <c r="F37" i="80"/>
  <c r="I58" i="80"/>
  <c r="F58" i="80"/>
  <c r="I35" i="80"/>
  <c r="F35" i="80"/>
  <c r="I49" i="80"/>
  <c r="F49" i="80"/>
  <c r="I52" i="80"/>
  <c r="F52" i="80"/>
  <c r="I34" i="80"/>
  <c r="F34" i="80"/>
  <c r="I36" i="80"/>
  <c r="F36" i="80"/>
  <c r="I72" i="80"/>
  <c r="F72" i="80"/>
  <c r="I26" i="80"/>
  <c r="F26" i="80"/>
  <c r="I27" i="80"/>
  <c r="F27" i="80"/>
  <c r="I33" i="80"/>
  <c r="F33" i="80"/>
  <c r="I47" i="80"/>
  <c r="F47" i="80"/>
  <c r="I13" i="80"/>
  <c r="F13" i="80"/>
  <c r="I45" i="80"/>
  <c r="F45" i="80"/>
  <c r="I2" i="80"/>
  <c r="F2" i="80"/>
  <c r="I25" i="80"/>
  <c r="F25" i="80"/>
  <c r="I43" i="80"/>
  <c r="F43" i="80"/>
  <c r="I21" i="80"/>
  <c r="F21" i="80"/>
  <c r="I46" i="80"/>
  <c r="F46" i="80"/>
  <c r="I6" i="80"/>
  <c r="F6" i="80"/>
  <c r="I18" i="80"/>
  <c r="F18" i="80"/>
  <c r="I9" i="80"/>
  <c r="F9" i="80"/>
  <c r="I3" i="80"/>
  <c r="F3" i="80"/>
  <c r="I10" i="80"/>
  <c r="F10" i="80"/>
  <c r="I11" i="80"/>
  <c r="F11" i="80"/>
  <c r="I41" i="80"/>
  <c r="F41" i="80"/>
  <c r="I24" i="80"/>
  <c r="F24" i="80"/>
  <c r="I42" i="80"/>
  <c r="F42" i="80"/>
  <c r="I51" i="80"/>
  <c r="F51" i="80"/>
  <c r="I56" i="80"/>
  <c r="F56" i="80"/>
  <c r="I17" i="80"/>
  <c r="F17" i="80"/>
  <c r="I62" i="80"/>
  <c r="F62" i="80"/>
  <c r="I32" i="80"/>
  <c r="F32" i="80"/>
  <c r="I16" i="80"/>
  <c r="F16" i="80"/>
  <c r="I14" i="80"/>
  <c r="F14" i="80"/>
  <c r="I7" i="80"/>
  <c r="F7" i="80"/>
  <c r="I40" i="80"/>
  <c r="F40" i="80"/>
  <c r="I39" i="80"/>
  <c r="F39" i="80"/>
  <c r="I5" i="80"/>
  <c r="F5" i="80"/>
  <c r="I8" i="80"/>
  <c r="F8" i="80"/>
  <c r="I19" i="80"/>
  <c r="F19" i="80"/>
  <c r="I23" i="80"/>
  <c r="F23" i="80"/>
  <c r="I31" i="80"/>
  <c r="F31" i="80"/>
  <c r="I12" i="80"/>
  <c r="F12" i="80"/>
  <c r="I11" i="79"/>
  <c r="F11" i="79"/>
  <c r="I48" i="79"/>
  <c r="F48" i="79"/>
  <c r="I49" i="79"/>
  <c r="F49" i="79"/>
  <c r="I45" i="79"/>
  <c r="F45" i="79"/>
  <c r="I42" i="79"/>
  <c r="F42" i="79"/>
  <c r="I44" i="79"/>
  <c r="F44" i="79"/>
  <c r="I35" i="79"/>
  <c r="F35" i="79"/>
  <c r="I57" i="79"/>
  <c r="F57" i="79"/>
  <c r="I58" i="79"/>
  <c r="F58" i="79"/>
  <c r="I38" i="79"/>
  <c r="F38" i="79"/>
  <c r="I62" i="79"/>
  <c r="F62" i="79"/>
  <c r="I53" i="79"/>
  <c r="F53" i="79"/>
  <c r="I51" i="79"/>
  <c r="F51" i="79"/>
  <c r="I70" i="79"/>
  <c r="F70" i="79"/>
  <c r="I46" i="79"/>
  <c r="F46" i="79"/>
  <c r="I65" i="79"/>
  <c r="F65" i="79"/>
  <c r="I63" i="79"/>
  <c r="F63" i="79"/>
  <c r="I39" i="79"/>
  <c r="F39" i="79"/>
  <c r="I22" i="79"/>
  <c r="F22" i="79"/>
  <c r="I67" i="79"/>
  <c r="F67" i="79"/>
  <c r="I40" i="79"/>
  <c r="F40" i="79"/>
  <c r="I47" i="79"/>
  <c r="F47" i="79"/>
  <c r="I52" i="79"/>
  <c r="F52" i="79"/>
  <c r="I54" i="79"/>
  <c r="F54" i="79"/>
  <c r="I50" i="79"/>
  <c r="F50" i="79"/>
  <c r="I14" i="79"/>
  <c r="F14" i="79"/>
  <c r="I64" i="79"/>
  <c r="F64" i="79"/>
  <c r="I31" i="79"/>
  <c r="F31" i="79"/>
  <c r="I10" i="79"/>
  <c r="F10" i="79"/>
  <c r="I41" i="79"/>
  <c r="F41" i="79"/>
  <c r="I37" i="79"/>
  <c r="F37" i="79"/>
  <c r="I43" i="79"/>
  <c r="F43" i="79"/>
  <c r="I69" i="79"/>
  <c r="F69" i="79"/>
  <c r="I61" i="79"/>
  <c r="F61" i="79"/>
  <c r="I66" i="79"/>
  <c r="F66" i="79"/>
  <c r="I21" i="79"/>
  <c r="F21" i="79"/>
  <c r="I34" i="79"/>
  <c r="F34" i="79"/>
  <c r="I30" i="79"/>
  <c r="F30" i="79"/>
  <c r="I73" i="79"/>
  <c r="F73" i="79"/>
  <c r="I7" i="79"/>
  <c r="F7" i="79"/>
  <c r="I55" i="79"/>
  <c r="F55" i="79"/>
  <c r="I36" i="79"/>
  <c r="F36" i="79"/>
  <c r="I74" i="79"/>
  <c r="F74" i="79"/>
  <c r="I76" i="79"/>
  <c r="F76" i="79"/>
  <c r="I9" i="79"/>
  <c r="F9" i="79"/>
  <c r="I16" i="79"/>
  <c r="F16" i="79"/>
  <c r="I25" i="79"/>
  <c r="F25" i="79"/>
  <c r="I75" i="79"/>
  <c r="F75" i="79"/>
  <c r="I23" i="79"/>
  <c r="F23" i="79"/>
  <c r="I19" i="79"/>
  <c r="F19" i="79"/>
  <c r="I24" i="79"/>
  <c r="F24" i="79"/>
  <c r="I60" i="79"/>
  <c r="F60" i="79"/>
  <c r="I26" i="79"/>
  <c r="F26" i="79"/>
  <c r="I28" i="79"/>
  <c r="F28" i="79"/>
  <c r="I29" i="79"/>
  <c r="F29" i="79"/>
  <c r="I33" i="79"/>
  <c r="F33" i="79"/>
  <c r="I20" i="79"/>
  <c r="F20" i="79"/>
  <c r="I15" i="79"/>
  <c r="F15" i="79"/>
  <c r="I6" i="79"/>
  <c r="F6" i="79"/>
  <c r="I72" i="79"/>
  <c r="F72" i="79"/>
  <c r="I71" i="79"/>
  <c r="F71" i="79"/>
  <c r="I56" i="79"/>
  <c r="F56" i="79"/>
  <c r="I18" i="79"/>
  <c r="F18" i="79"/>
  <c r="I32" i="79"/>
  <c r="F32" i="79"/>
  <c r="I5" i="79"/>
  <c r="F5" i="79"/>
  <c r="I17" i="79"/>
  <c r="F17" i="79"/>
  <c r="I4" i="79"/>
  <c r="F4" i="79"/>
  <c r="I12" i="79"/>
  <c r="F12" i="79"/>
  <c r="I27" i="79"/>
  <c r="F27" i="79"/>
  <c r="I13" i="79"/>
  <c r="F13" i="79"/>
  <c r="I3" i="79"/>
  <c r="F3" i="79"/>
  <c r="I68" i="79"/>
  <c r="F68" i="79"/>
  <c r="I2" i="79"/>
  <c r="F2" i="79"/>
  <c r="I8" i="79"/>
  <c r="F8" i="79"/>
  <c r="I59" i="79"/>
  <c r="F59" i="79"/>
  <c r="C32" i="46"/>
  <c r="M6" i="47"/>
  <c r="P676" i="75" a="1"/>
  <c r="P676" i="75" s="1"/>
  <c r="Q676" i="75" s="1"/>
  <c r="P609" i="75" a="1"/>
  <c r="P609" i="75" s="1"/>
  <c r="Q609" i="75" s="1"/>
  <c r="P610" i="75" a="1"/>
  <c r="P610" i="75" s="1"/>
  <c r="Q610" i="75" s="1"/>
  <c r="P611" i="75" a="1"/>
  <c r="P611" i="75" s="1"/>
  <c r="Q611" i="75" s="1"/>
  <c r="P612" i="75" a="1"/>
  <c r="P612" i="75" s="1"/>
  <c r="Q612" i="75" s="1"/>
  <c r="P613" i="75" a="1"/>
  <c r="P613" i="75" s="1"/>
  <c r="Q613" i="75" s="1"/>
  <c r="P614" i="75" a="1"/>
  <c r="P614" i="75" s="1"/>
  <c r="Q614" i="75" s="1"/>
  <c r="P615" i="75" a="1"/>
  <c r="P615" i="75" s="1"/>
  <c r="Q615" i="75" s="1"/>
  <c r="P616" i="75" a="1"/>
  <c r="P616" i="75" s="1"/>
  <c r="Q616" i="75" s="1"/>
  <c r="P617" i="75" a="1"/>
  <c r="P617" i="75" s="1"/>
  <c r="Q617" i="75" s="1"/>
  <c r="P618" i="75" a="1"/>
  <c r="P618" i="75" s="1"/>
  <c r="Q618" i="75" s="1"/>
  <c r="P619" i="75" a="1"/>
  <c r="P619" i="75" s="1"/>
  <c r="Q619" i="75" s="1"/>
  <c r="P620" i="75" a="1"/>
  <c r="P620" i="75" s="1"/>
  <c r="Q620" i="75" s="1"/>
  <c r="P621" i="75" a="1"/>
  <c r="P621" i="75" s="1"/>
  <c r="Q621" i="75" s="1"/>
  <c r="P622" i="75" a="1"/>
  <c r="P622" i="75" s="1"/>
  <c r="Q622" i="75" s="1"/>
  <c r="P623" i="75" a="1"/>
  <c r="P623" i="75" s="1"/>
  <c r="Q623" i="75" s="1"/>
  <c r="P624" i="75" a="1"/>
  <c r="P624" i="75" s="1"/>
  <c r="Q624" i="75" s="1"/>
  <c r="P625" i="75" a="1"/>
  <c r="P625" i="75" s="1"/>
  <c r="Q625" i="75" s="1"/>
  <c r="P626" i="75" a="1"/>
  <c r="P626" i="75" s="1"/>
  <c r="Q626" i="75" s="1"/>
  <c r="P627" i="75" a="1"/>
  <c r="P627" i="75" s="1"/>
  <c r="Q627" i="75" s="1"/>
  <c r="P628" i="75" a="1"/>
  <c r="P628" i="75" s="1"/>
  <c r="Q628" i="75" s="1"/>
  <c r="P629" i="75" a="1"/>
  <c r="P629" i="75" s="1"/>
  <c r="Q629" i="75" s="1"/>
  <c r="P630" i="75" a="1"/>
  <c r="P630" i="75" s="1"/>
  <c r="Q630" i="75" s="1"/>
  <c r="P631" i="75" a="1"/>
  <c r="P631" i="75" s="1"/>
  <c r="Q631" i="75" s="1"/>
  <c r="P632" i="75" a="1"/>
  <c r="P632" i="75" s="1"/>
  <c r="Q632" i="75" s="1"/>
  <c r="P633" i="75" a="1"/>
  <c r="P633" i="75" s="1"/>
  <c r="Q633" i="75" s="1"/>
  <c r="P634" i="75" a="1"/>
  <c r="P634" i="75" s="1"/>
  <c r="Q634" i="75" s="1"/>
  <c r="P635" i="75" a="1"/>
  <c r="P635" i="75" s="1"/>
  <c r="Q635" i="75" s="1"/>
  <c r="P636" i="75" a="1"/>
  <c r="P636" i="75" s="1"/>
  <c r="Q636" i="75" s="1"/>
  <c r="P637" i="75" a="1"/>
  <c r="P637" i="75" s="1"/>
  <c r="Q637" i="75" s="1"/>
  <c r="P638" i="75" a="1"/>
  <c r="P638" i="75" s="1"/>
  <c r="Q638" i="75" s="1"/>
  <c r="P639" i="75" a="1"/>
  <c r="P639" i="75" s="1"/>
  <c r="Q639" i="75" s="1"/>
  <c r="P640" i="75" a="1"/>
  <c r="P640" i="75" s="1"/>
  <c r="Q640" i="75" s="1"/>
  <c r="P641" i="75" a="1"/>
  <c r="P641" i="75" s="1"/>
  <c r="Q641" i="75" s="1"/>
  <c r="P642" i="75" a="1"/>
  <c r="P642" i="75" s="1"/>
  <c r="Q642" i="75" s="1"/>
  <c r="P643" i="75" a="1"/>
  <c r="P643" i="75" s="1"/>
  <c r="Q643" i="75" s="1"/>
  <c r="P644" i="75" a="1"/>
  <c r="P644" i="75" s="1"/>
  <c r="Q644" i="75" s="1"/>
  <c r="P645" i="75" a="1"/>
  <c r="P645" i="75" s="1"/>
  <c r="Q645" i="75" s="1"/>
  <c r="P646" i="75" a="1"/>
  <c r="P646" i="75" s="1"/>
  <c r="Q646" i="75" s="1"/>
  <c r="P647" i="75" a="1"/>
  <c r="P647" i="75" s="1"/>
  <c r="Q647" i="75" s="1"/>
  <c r="P648" i="75" a="1"/>
  <c r="P648" i="75" s="1"/>
  <c r="Q648" i="75" s="1"/>
  <c r="P649" i="75" a="1"/>
  <c r="P649" i="75" s="1"/>
  <c r="Q649" i="75" s="1"/>
  <c r="P650" i="75" a="1"/>
  <c r="P650" i="75" s="1"/>
  <c r="Q650" i="75" s="1"/>
  <c r="P651" i="75" a="1"/>
  <c r="P651" i="75" s="1"/>
  <c r="Q651" i="75" s="1"/>
  <c r="P652" i="75" a="1"/>
  <c r="P652" i="75" s="1"/>
  <c r="Q652" i="75" s="1"/>
  <c r="P653" i="75" a="1"/>
  <c r="P653" i="75" s="1"/>
  <c r="Q653" i="75" s="1"/>
  <c r="P654" i="75" a="1"/>
  <c r="P654" i="75"/>
  <c r="Q654" i="75" s="1"/>
  <c r="P655" i="75" a="1"/>
  <c r="P655" i="75" s="1"/>
  <c r="Q655" i="75" s="1"/>
  <c r="P656" i="75" a="1"/>
  <c r="P656" i="75" s="1"/>
  <c r="Q656" i="75" s="1"/>
  <c r="P657" i="75" a="1"/>
  <c r="P657" i="75" s="1"/>
  <c r="Q657" i="75" s="1"/>
  <c r="P658" i="75" a="1"/>
  <c r="P658" i="75" s="1"/>
  <c r="Q658" i="75" s="1"/>
  <c r="P659" i="75" a="1"/>
  <c r="P659" i="75" s="1"/>
  <c r="Q659" i="75" s="1"/>
  <c r="P660" i="75" a="1"/>
  <c r="P660" i="75" s="1"/>
  <c r="Q660" i="75" s="1"/>
  <c r="P661" i="75" a="1"/>
  <c r="P661" i="75" s="1"/>
  <c r="Q661" i="75" s="1"/>
  <c r="P662" i="75" a="1"/>
  <c r="P662" i="75" s="1"/>
  <c r="Q662" i="75" s="1"/>
  <c r="P663" i="75" a="1"/>
  <c r="P663" i="75" s="1"/>
  <c r="Q663" i="75" s="1"/>
  <c r="P664" i="75" a="1"/>
  <c r="P664" i="75" s="1"/>
  <c r="Q664" i="75" s="1"/>
  <c r="P665" i="75" a="1"/>
  <c r="P665" i="75" s="1"/>
  <c r="Q665" i="75" s="1"/>
  <c r="P666" i="75" a="1"/>
  <c r="P666" i="75" s="1"/>
  <c r="Q666" i="75" s="1"/>
  <c r="P667" i="75" a="1"/>
  <c r="P667" i="75" s="1"/>
  <c r="Q667" i="75" s="1"/>
  <c r="P668" i="75" a="1"/>
  <c r="P668" i="75" s="1"/>
  <c r="Q668" i="75" s="1"/>
  <c r="P669" i="75" a="1"/>
  <c r="P669" i="75" s="1"/>
  <c r="Q669" i="75" s="1"/>
  <c r="P670" i="75" a="1"/>
  <c r="P670" i="75" s="1"/>
  <c r="Q670" i="75" s="1"/>
  <c r="P671" i="75" a="1"/>
  <c r="P671" i="75" s="1"/>
  <c r="Q671" i="75" s="1"/>
  <c r="P672" i="75" a="1"/>
  <c r="P672" i="75" s="1"/>
  <c r="Q672" i="75" s="1"/>
  <c r="P673" i="75" a="1"/>
  <c r="P673" i="75" s="1"/>
  <c r="Q673" i="75" s="1"/>
  <c r="P674" i="75" a="1"/>
  <c r="P674" i="75" s="1"/>
  <c r="Q674" i="75" s="1"/>
  <c r="P675" i="75" a="1"/>
  <c r="P675" i="75" s="1"/>
  <c r="Q675" i="75" s="1"/>
  <c r="P313" i="75" a="1"/>
  <c r="P313" i="75" s="1"/>
  <c r="Q313" i="75" s="1"/>
  <c r="P314" i="75" a="1"/>
  <c r="P314" i="75" s="1"/>
  <c r="Q314" i="75" s="1"/>
  <c r="P315" i="75" a="1"/>
  <c r="P315" i="75" s="1"/>
  <c r="Q315" i="75" s="1"/>
  <c r="P316" i="75" a="1"/>
  <c r="P316" i="75" s="1"/>
  <c r="Q316" i="75" s="1"/>
  <c r="P317" i="75" a="1"/>
  <c r="P317" i="75" s="1"/>
  <c r="Q317" i="75" s="1"/>
  <c r="P318" i="75" a="1"/>
  <c r="P318" i="75" s="1"/>
  <c r="Q318" i="75" s="1"/>
  <c r="P319" i="75" a="1"/>
  <c r="P319" i="75" s="1"/>
  <c r="Q319" i="75" s="1"/>
  <c r="P320" i="75" a="1"/>
  <c r="P320" i="75" s="1"/>
  <c r="Q320" i="75" s="1"/>
  <c r="P321" i="75" a="1"/>
  <c r="P321" i="75" s="1"/>
  <c r="Q321" i="75" s="1"/>
  <c r="P322" i="75" a="1"/>
  <c r="P322" i="75" s="1"/>
  <c r="Q322" i="75" s="1"/>
  <c r="P323" i="75" a="1"/>
  <c r="P323" i="75" s="1"/>
  <c r="Q323" i="75" s="1"/>
  <c r="P324" i="75" a="1"/>
  <c r="P324" i="75" s="1"/>
  <c r="Q324" i="75" s="1"/>
  <c r="P325" i="75" a="1"/>
  <c r="P325" i="75" s="1"/>
  <c r="Q325" i="75" s="1"/>
  <c r="P326" i="75" a="1"/>
  <c r="P326" i="75" s="1"/>
  <c r="Q326" i="75" s="1"/>
  <c r="P327" i="75" a="1"/>
  <c r="P327" i="75" s="1"/>
  <c r="Q327" i="75" s="1"/>
  <c r="P328" i="75" a="1"/>
  <c r="P328" i="75" s="1"/>
  <c r="Q328" i="75" s="1"/>
  <c r="P329" i="75" a="1"/>
  <c r="P329" i="75" s="1"/>
  <c r="Q329" i="75" s="1"/>
  <c r="P330" i="75" a="1"/>
  <c r="P330" i="75" s="1"/>
  <c r="Q330" i="75" s="1"/>
  <c r="P331" i="75" a="1"/>
  <c r="P331" i="75" s="1"/>
  <c r="Q331" i="75" s="1"/>
  <c r="P332" i="75" a="1"/>
  <c r="P332" i="75" s="1"/>
  <c r="Q332" i="75" s="1"/>
  <c r="P333" i="75" a="1"/>
  <c r="P333" i="75" s="1"/>
  <c r="Q333" i="75" s="1"/>
  <c r="P334" i="75" a="1"/>
  <c r="P334" i="75" s="1"/>
  <c r="Q334" i="75" s="1"/>
  <c r="P335" i="75" a="1"/>
  <c r="P335" i="75" s="1"/>
  <c r="Q335" i="75" s="1"/>
  <c r="P336" i="75" a="1"/>
  <c r="P336" i="75" s="1"/>
  <c r="Q336" i="75" s="1"/>
  <c r="P337" i="75" a="1"/>
  <c r="P337" i="75" s="1"/>
  <c r="Q337" i="75" s="1"/>
  <c r="P338" i="75" a="1"/>
  <c r="P338" i="75" s="1"/>
  <c r="Q338" i="75" s="1"/>
  <c r="P339" i="75" a="1"/>
  <c r="P339" i="75" s="1"/>
  <c r="Q339" i="75" s="1"/>
  <c r="P340" i="75" a="1"/>
  <c r="P340" i="75" s="1"/>
  <c r="Q340" i="75" s="1"/>
  <c r="P341" i="75" a="1"/>
  <c r="P341" i="75" s="1"/>
  <c r="Q341" i="75" s="1"/>
  <c r="P342" i="75" a="1"/>
  <c r="P342" i="75"/>
  <c r="Q342" i="75" s="1"/>
  <c r="P343" i="75" a="1"/>
  <c r="P343" i="75" s="1"/>
  <c r="Q343" i="75" s="1"/>
  <c r="P344" i="75" a="1"/>
  <c r="P344" i="75" s="1"/>
  <c r="Q344" i="75" s="1"/>
  <c r="P345" i="75" a="1"/>
  <c r="P345" i="75" s="1"/>
  <c r="Q345" i="75" s="1"/>
  <c r="P346" i="75" a="1"/>
  <c r="P346" i="75" s="1"/>
  <c r="Q346" i="75" s="1"/>
  <c r="P347" i="75" a="1"/>
  <c r="P347" i="75" s="1"/>
  <c r="Q347" i="75" s="1"/>
  <c r="P348" i="75" a="1"/>
  <c r="P348" i="75" s="1"/>
  <c r="Q348" i="75" s="1"/>
  <c r="P349" i="75" a="1"/>
  <c r="P349" i="75" s="1"/>
  <c r="Q349" i="75" s="1"/>
  <c r="P350" i="75" a="1"/>
  <c r="P350" i="75" s="1"/>
  <c r="Q350" i="75" s="1"/>
  <c r="P351" i="75" a="1"/>
  <c r="P351" i="75" s="1"/>
  <c r="Q351" i="75" s="1"/>
  <c r="P352" i="75" a="1"/>
  <c r="P352" i="75" s="1"/>
  <c r="Q352" i="75" s="1"/>
  <c r="P353" i="75" a="1"/>
  <c r="P353" i="75" s="1"/>
  <c r="Q353" i="75" s="1"/>
  <c r="P354" i="75" a="1"/>
  <c r="P354" i="75" s="1"/>
  <c r="Q354" i="75" s="1"/>
  <c r="P355" i="75" a="1"/>
  <c r="P355" i="75" s="1"/>
  <c r="Q355" i="75" s="1"/>
  <c r="P356" i="75" a="1"/>
  <c r="P356" i="75" s="1"/>
  <c r="Q356" i="75" s="1"/>
  <c r="P357" i="75" a="1"/>
  <c r="P357" i="75" s="1"/>
  <c r="Q357" i="75" s="1"/>
  <c r="P358" i="75" a="1"/>
  <c r="P358" i="75" s="1"/>
  <c r="Q358" i="75" s="1"/>
  <c r="P359" i="75" a="1"/>
  <c r="P359" i="75" s="1"/>
  <c r="Q359" i="75" s="1"/>
  <c r="P360" i="75" a="1"/>
  <c r="P360" i="75" s="1"/>
  <c r="Q360" i="75" s="1"/>
  <c r="P361" i="75" a="1"/>
  <c r="P361" i="75" s="1"/>
  <c r="Q361" i="75" s="1"/>
  <c r="P362" i="75" a="1"/>
  <c r="P362" i="75" s="1"/>
  <c r="Q362" i="75" s="1"/>
  <c r="P363" i="75" a="1"/>
  <c r="P363" i="75" s="1"/>
  <c r="Q363" i="75" s="1"/>
  <c r="P364" i="75" a="1"/>
  <c r="P364" i="75" s="1"/>
  <c r="Q364" i="75" s="1"/>
  <c r="P365" i="75" a="1"/>
  <c r="P365" i="75" s="1"/>
  <c r="Q365" i="75" s="1"/>
  <c r="P366" i="75" a="1"/>
  <c r="P366" i="75" s="1"/>
  <c r="Q366" i="75" s="1"/>
  <c r="P367" i="75" a="1"/>
  <c r="P367" i="75" s="1"/>
  <c r="Q367" i="75" s="1"/>
  <c r="P368" i="75" a="1"/>
  <c r="P368" i="75" s="1"/>
  <c r="Q368" i="75" s="1"/>
  <c r="P369" i="75" a="1"/>
  <c r="P369" i="75" s="1"/>
  <c r="Q369" i="75" s="1"/>
  <c r="P370" i="75" a="1"/>
  <c r="P370" i="75" s="1"/>
  <c r="Q370" i="75" s="1"/>
  <c r="P371" i="75" a="1"/>
  <c r="P371" i="75" s="1"/>
  <c r="Q371" i="75" s="1"/>
  <c r="P372" i="75" a="1"/>
  <c r="P372" i="75" s="1"/>
  <c r="Q372" i="75" s="1"/>
  <c r="P373" i="75" a="1"/>
  <c r="P373" i="75" s="1"/>
  <c r="Q373" i="75" s="1"/>
  <c r="P374" i="75" a="1"/>
  <c r="P374" i="75" s="1"/>
  <c r="Q374" i="75" s="1"/>
  <c r="P375" i="75" a="1"/>
  <c r="P375" i="75" s="1"/>
  <c r="Q375" i="75" s="1"/>
  <c r="P376" i="75" a="1"/>
  <c r="P376" i="75" s="1"/>
  <c r="Q376" i="75" s="1"/>
  <c r="P377" i="75" a="1"/>
  <c r="P377" i="75" s="1"/>
  <c r="Q377" i="75" s="1"/>
  <c r="P378" i="75" a="1"/>
  <c r="P378" i="75" s="1"/>
  <c r="Q378" i="75" s="1"/>
  <c r="P379" i="75" a="1"/>
  <c r="P379" i="75" s="1"/>
  <c r="Q379" i="75" s="1"/>
  <c r="P380" i="75" a="1"/>
  <c r="P380" i="75" s="1"/>
  <c r="Q380" i="75" s="1"/>
  <c r="P381" i="75" a="1"/>
  <c r="P381" i="75" s="1"/>
  <c r="Q381" i="75" s="1"/>
  <c r="P382" i="75" a="1"/>
  <c r="P382" i="75" s="1"/>
  <c r="Q382" i="75" s="1"/>
  <c r="P383" i="75" a="1"/>
  <c r="P383" i="75" s="1"/>
  <c r="Q383" i="75" s="1"/>
  <c r="P384" i="75" a="1"/>
  <c r="P384" i="75" s="1"/>
  <c r="Q384" i="75" s="1"/>
  <c r="P385" i="75" a="1"/>
  <c r="P385" i="75" s="1"/>
  <c r="Q385" i="75" s="1"/>
  <c r="P386" i="75" a="1"/>
  <c r="P386" i="75" s="1"/>
  <c r="P387" i="75" a="1"/>
  <c r="P387" i="75" s="1"/>
  <c r="Q387" i="75" s="1"/>
  <c r="P388" i="75" a="1"/>
  <c r="P388" i="75" s="1"/>
  <c r="Q388" i="75" s="1"/>
  <c r="P389" i="75" a="1"/>
  <c r="P389" i="75" s="1"/>
  <c r="Q389" i="75" s="1"/>
  <c r="P390" i="75" a="1"/>
  <c r="P390" i="75" s="1"/>
  <c r="Q390" i="75" s="1"/>
  <c r="P391" i="75" a="1"/>
  <c r="P391" i="75" s="1"/>
  <c r="Q391" i="75" s="1"/>
  <c r="P392" i="75" a="1"/>
  <c r="P392" i="75" s="1"/>
  <c r="Q392" i="75" s="1"/>
  <c r="P393" i="75" a="1"/>
  <c r="P393" i="75" s="1"/>
  <c r="Q393" i="75" s="1"/>
  <c r="P394" i="75" a="1"/>
  <c r="P394" i="75" s="1"/>
  <c r="Q394" i="75" s="1"/>
  <c r="P395" i="75" a="1"/>
  <c r="P395" i="75" s="1"/>
  <c r="Q395" i="75" s="1"/>
  <c r="P396" i="75" a="1"/>
  <c r="P396" i="75" s="1"/>
  <c r="Q396" i="75" s="1"/>
  <c r="P397" i="75" a="1"/>
  <c r="P397" i="75" s="1"/>
  <c r="Q397" i="75" s="1"/>
  <c r="P398" i="75" a="1"/>
  <c r="P398" i="75" s="1"/>
  <c r="Q398" i="75" s="1"/>
  <c r="P399" i="75" a="1"/>
  <c r="P399" i="75" s="1"/>
  <c r="Q399" i="75" s="1"/>
  <c r="P400" i="75" a="1"/>
  <c r="P400" i="75" s="1"/>
  <c r="Q400" i="75" s="1"/>
  <c r="P401" i="75" a="1"/>
  <c r="P401" i="75" s="1"/>
  <c r="Q401" i="75" s="1"/>
  <c r="P402" i="75" a="1"/>
  <c r="P402" i="75" s="1"/>
  <c r="Q402" i="75" s="1"/>
  <c r="P403" i="75" a="1"/>
  <c r="P403" i="75" s="1"/>
  <c r="Q403" i="75" s="1"/>
  <c r="P404" i="75" a="1"/>
  <c r="P404" i="75" s="1"/>
  <c r="Q404" i="75" s="1"/>
  <c r="P405" i="75" a="1"/>
  <c r="P405" i="75" s="1"/>
  <c r="Q405" i="75" s="1"/>
  <c r="P406" i="75" a="1"/>
  <c r="P406" i="75" s="1"/>
  <c r="Q406" i="75" s="1"/>
  <c r="P407" i="75" a="1"/>
  <c r="P407" i="75" s="1"/>
  <c r="Q407" i="75" s="1"/>
  <c r="P408" i="75" a="1"/>
  <c r="P408" i="75" s="1"/>
  <c r="Q408" i="75" s="1"/>
  <c r="P409" i="75" a="1"/>
  <c r="P409" i="75" s="1"/>
  <c r="Q409" i="75" s="1"/>
  <c r="P410" i="75" a="1"/>
  <c r="P410" i="75" s="1"/>
  <c r="Q410" i="75" s="1"/>
  <c r="P411" i="75" a="1"/>
  <c r="P411" i="75" s="1"/>
  <c r="Q411" i="75" s="1"/>
  <c r="P412" i="75" a="1"/>
  <c r="P412" i="75" s="1"/>
  <c r="Q412" i="75" s="1"/>
  <c r="P413" i="75" a="1"/>
  <c r="P413" i="75" s="1"/>
  <c r="Q413" i="75" s="1"/>
  <c r="P414" i="75" a="1"/>
  <c r="P414" i="75" s="1"/>
  <c r="Q414" i="75" s="1"/>
  <c r="P415" i="75" a="1"/>
  <c r="P415" i="75" s="1"/>
  <c r="Q415" i="75" s="1"/>
  <c r="P416" i="75" a="1"/>
  <c r="P416" i="75" s="1"/>
  <c r="Q416" i="75" s="1"/>
  <c r="P417" i="75" a="1"/>
  <c r="P417" i="75" s="1"/>
  <c r="Q417" i="75" s="1"/>
  <c r="P418" i="75" a="1"/>
  <c r="P418" i="75" s="1"/>
  <c r="Q418" i="75" s="1"/>
  <c r="P419" i="75" a="1"/>
  <c r="P419" i="75" s="1"/>
  <c r="Q419" i="75" s="1"/>
  <c r="P420" i="75" a="1"/>
  <c r="P420" i="75" s="1"/>
  <c r="Q420" i="75" s="1"/>
  <c r="P421" i="75" a="1"/>
  <c r="P421" i="75" s="1"/>
  <c r="Q421" i="75" s="1"/>
  <c r="P422" i="75" a="1"/>
  <c r="P422" i="75" s="1"/>
  <c r="Q422" i="75" s="1"/>
  <c r="P423" i="75" a="1"/>
  <c r="P423" i="75" s="1"/>
  <c r="Q423" i="75" s="1"/>
  <c r="P424" i="75" a="1"/>
  <c r="P424" i="75" s="1"/>
  <c r="Q424" i="75" s="1"/>
  <c r="P425" i="75" a="1"/>
  <c r="P425" i="75" s="1"/>
  <c r="Q425" i="75" s="1"/>
  <c r="P426" i="75" a="1"/>
  <c r="P426" i="75" s="1"/>
  <c r="Q426" i="75" s="1"/>
  <c r="P427" i="75" a="1"/>
  <c r="P427" i="75" s="1"/>
  <c r="Q427" i="75" s="1"/>
  <c r="P428" i="75" a="1"/>
  <c r="P428" i="75" s="1"/>
  <c r="Q428" i="75" s="1"/>
  <c r="P429" i="75" a="1"/>
  <c r="P429" i="75" s="1"/>
  <c r="Q429" i="75" s="1"/>
  <c r="P430" i="75" a="1"/>
  <c r="P430" i="75" s="1"/>
  <c r="Q430" i="75" s="1"/>
  <c r="P431" i="75" a="1"/>
  <c r="P431" i="75" s="1"/>
  <c r="Q431" i="75" s="1"/>
  <c r="P432" i="75" a="1"/>
  <c r="P432" i="75" s="1"/>
  <c r="Q432" i="75" s="1"/>
  <c r="P433" i="75" a="1"/>
  <c r="P433" i="75" s="1"/>
  <c r="Q433" i="75" s="1"/>
  <c r="P434" i="75" a="1"/>
  <c r="P434" i="75" s="1"/>
  <c r="Q434" i="75" s="1"/>
  <c r="P435" i="75" a="1"/>
  <c r="P435" i="75" s="1"/>
  <c r="Q435" i="75" s="1"/>
  <c r="P436" i="75" a="1"/>
  <c r="P436" i="75" s="1"/>
  <c r="Q436" i="75" s="1"/>
  <c r="P437" i="75" a="1"/>
  <c r="P437" i="75" s="1"/>
  <c r="Q437" i="75" s="1"/>
  <c r="P438" i="75" a="1"/>
  <c r="P438" i="75" s="1"/>
  <c r="Q438" i="75" s="1"/>
  <c r="P439" i="75" a="1"/>
  <c r="P439" i="75" s="1"/>
  <c r="Q439" i="75" s="1"/>
  <c r="P440" i="75" a="1"/>
  <c r="P440" i="75" s="1"/>
  <c r="Q440" i="75" s="1"/>
  <c r="P441" i="75" a="1"/>
  <c r="P441" i="75" s="1"/>
  <c r="Q441" i="75" s="1"/>
  <c r="P442" i="75" a="1"/>
  <c r="P442" i="75" s="1"/>
  <c r="Q442" i="75" s="1"/>
  <c r="P443" i="75" a="1"/>
  <c r="P443" i="75" s="1"/>
  <c r="Q443" i="75" s="1"/>
  <c r="P444" i="75" a="1"/>
  <c r="P444" i="75" s="1"/>
  <c r="Q444" i="75" s="1"/>
  <c r="P445" i="75" a="1"/>
  <c r="P445" i="75"/>
  <c r="Q445" i="75" s="1"/>
  <c r="P446" i="75" a="1"/>
  <c r="P446" i="75" s="1"/>
  <c r="Q446" i="75" s="1"/>
  <c r="P447" i="75" a="1"/>
  <c r="P447" i="75" s="1"/>
  <c r="Q447" i="75" s="1"/>
  <c r="P448" i="75" a="1"/>
  <c r="P448" i="75" s="1"/>
  <c r="Q448" i="75" s="1"/>
  <c r="P449" i="75" a="1"/>
  <c r="P449" i="75" s="1"/>
  <c r="Q449" i="75" s="1"/>
  <c r="P450" i="75" a="1"/>
  <c r="P450" i="75" s="1"/>
  <c r="Q450" i="75" s="1"/>
  <c r="P451" i="75" a="1"/>
  <c r="P451" i="75" s="1"/>
  <c r="Q451" i="75" s="1"/>
  <c r="P452" i="75" a="1"/>
  <c r="P452" i="75" s="1"/>
  <c r="Q452" i="75" s="1"/>
  <c r="P453" i="75" a="1"/>
  <c r="P453" i="75" s="1"/>
  <c r="Q453" i="75" s="1"/>
  <c r="P454" i="75" a="1"/>
  <c r="P454" i="75" s="1"/>
  <c r="Q454" i="75" s="1"/>
  <c r="P455" i="75" a="1"/>
  <c r="P455" i="75" s="1"/>
  <c r="Q455" i="75" s="1"/>
  <c r="P456" i="75" a="1"/>
  <c r="P456" i="75" s="1"/>
  <c r="Q456" i="75" s="1"/>
  <c r="P457" i="75" a="1"/>
  <c r="P457" i="75" s="1"/>
  <c r="Q457" i="75" s="1"/>
  <c r="P458" i="75" a="1"/>
  <c r="P458" i="75" s="1"/>
  <c r="Q458" i="75" s="1"/>
  <c r="P459" i="75" a="1"/>
  <c r="P459" i="75" s="1"/>
  <c r="Q459" i="75" s="1"/>
  <c r="P460" i="75" a="1"/>
  <c r="P460" i="75" s="1"/>
  <c r="Q460" i="75" s="1"/>
  <c r="P461" i="75" a="1"/>
  <c r="P461" i="75" s="1"/>
  <c r="Q461" i="75" s="1"/>
  <c r="P462" i="75" a="1"/>
  <c r="P462" i="75" s="1"/>
  <c r="Q462" i="75" s="1"/>
  <c r="P463" i="75" a="1"/>
  <c r="P463" i="75" s="1"/>
  <c r="Q463" i="75" s="1"/>
  <c r="P464" i="75" a="1"/>
  <c r="P464" i="75" s="1"/>
  <c r="Q464" i="75" s="1"/>
  <c r="P465" i="75" a="1"/>
  <c r="P465" i="75" s="1"/>
  <c r="Q465" i="75" s="1"/>
  <c r="P466" i="75" a="1"/>
  <c r="P466" i="75" s="1"/>
  <c r="Q466" i="75" s="1"/>
  <c r="P467" i="75" a="1"/>
  <c r="P467" i="75" s="1"/>
  <c r="Q467" i="75" s="1"/>
  <c r="P468" i="75" a="1"/>
  <c r="P468" i="75" s="1"/>
  <c r="Q468" i="75" s="1"/>
  <c r="P469" i="75" a="1"/>
  <c r="P469" i="75" s="1"/>
  <c r="Q469" i="75" s="1"/>
  <c r="P470" i="75" a="1"/>
  <c r="P470" i="75" s="1"/>
  <c r="Q470" i="75" s="1"/>
  <c r="P471" i="75" a="1"/>
  <c r="P471" i="75" s="1"/>
  <c r="Q471" i="75" s="1"/>
  <c r="P472" i="75" a="1"/>
  <c r="P472" i="75" s="1"/>
  <c r="Q472" i="75" s="1"/>
  <c r="P473" i="75" a="1"/>
  <c r="P473" i="75" s="1"/>
  <c r="Q473" i="75" s="1"/>
  <c r="P474" i="75" a="1"/>
  <c r="P474" i="75" s="1"/>
  <c r="Q474" i="75" s="1"/>
  <c r="P475" i="75" a="1"/>
  <c r="P475" i="75" s="1"/>
  <c r="Q475" i="75" s="1"/>
  <c r="P476" i="75" a="1"/>
  <c r="P476" i="75"/>
  <c r="Q476" i="75" s="1"/>
  <c r="P477" i="75" a="1"/>
  <c r="P477" i="75" s="1"/>
  <c r="Q477" i="75" s="1"/>
  <c r="P478" i="75" a="1"/>
  <c r="P478" i="75" s="1"/>
  <c r="Q478" i="75" s="1"/>
  <c r="P479" i="75" a="1"/>
  <c r="P479" i="75" s="1"/>
  <c r="Q479" i="75" s="1"/>
  <c r="P480" i="75" a="1"/>
  <c r="P480" i="75" s="1"/>
  <c r="Q480" i="75" s="1"/>
  <c r="P481" i="75" a="1"/>
  <c r="P481" i="75" s="1"/>
  <c r="Q481" i="75" s="1"/>
  <c r="P482" i="75" a="1"/>
  <c r="P482" i="75" s="1"/>
  <c r="Q482" i="75" s="1"/>
  <c r="P483" i="75" a="1"/>
  <c r="P483" i="75" s="1"/>
  <c r="Q483" i="75" s="1"/>
  <c r="P484" i="75" a="1"/>
  <c r="P484" i="75" s="1"/>
  <c r="Q484" i="75" s="1"/>
  <c r="P485" i="75" a="1"/>
  <c r="P485" i="75" s="1"/>
  <c r="Q485" i="75" s="1"/>
  <c r="P486" i="75" a="1"/>
  <c r="P486" i="75" s="1"/>
  <c r="Q486" i="75" s="1"/>
  <c r="P487" i="75" a="1"/>
  <c r="P487" i="75" s="1"/>
  <c r="Q487" i="75" s="1"/>
  <c r="P488" i="75" a="1"/>
  <c r="P488" i="75" s="1"/>
  <c r="Q488" i="75" s="1"/>
  <c r="P489" i="75" a="1"/>
  <c r="P489" i="75" s="1"/>
  <c r="Q489" i="75" s="1"/>
  <c r="P490" i="75" a="1"/>
  <c r="P490" i="75" s="1"/>
  <c r="Q490" i="75" s="1"/>
  <c r="P491" i="75" a="1"/>
  <c r="P491" i="75" s="1"/>
  <c r="Q491" i="75" s="1"/>
  <c r="P492" i="75" a="1"/>
  <c r="P492" i="75" s="1"/>
  <c r="Q492" i="75" s="1"/>
  <c r="P493" i="75" a="1"/>
  <c r="P493" i="75" s="1"/>
  <c r="Q493" i="75" s="1"/>
  <c r="P494" i="75" a="1"/>
  <c r="P494" i="75" s="1"/>
  <c r="Q494" i="75" s="1"/>
  <c r="P495" i="75" a="1"/>
  <c r="P495" i="75" s="1"/>
  <c r="Q495" i="75" s="1"/>
  <c r="P496" i="75" a="1"/>
  <c r="P496" i="75" s="1"/>
  <c r="Q496" i="75" s="1"/>
  <c r="P497" i="75" a="1"/>
  <c r="P497" i="75" s="1"/>
  <c r="Q497" i="75" s="1"/>
  <c r="P498" i="75" a="1"/>
  <c r="P498" i="75" s="1"/>
  <c r="Q498" i="75" s="1"/>
  <c r="P499" i="75" a="1"/>
  <c r="P499" i="75" s="1"/>
  <c r="Q499" i="75" s="1"/>
  <c r="P500" i="75" a="1"/>
  <c r="P500" i="75" s="1"/>
  <c r="Q500" i="75" s="1"/>
  <c r="P501" i="75" a="1"/>
  <c r="P501" i="75" s="1"/>
  <c r="Q501" i="75" s="1"/>
  <c r="P502" i="75" a="1"/>
  <c r="P502" i="75" s="1"/>
  <c r="Q502" i="75" s="1"/>
  <c r="P503" i="75" a="1"/>
  <c r="P503" i="75" s="1"/>
  <c r="Q503" i="75" s="1"/>
  <c r="P504" i="75" a="1"/>
  <c r="P504" i="75" s="1"/>
  <c r="Q504" i="75" s="1"/>
  <c r="P505" i="75" a="1"/>
  <c r="P505" i="75" s="1"/>
  <c r="Q505" i="75" s="1"/>
  <c r="P506" i="75" a="1"/>
  <c r="P506" i="75" s="1"/>
  <c r="Q506" i="75" s="1"/>
  <c r="P507" i="75" a="1"/>
  <c r="P507" i="75" s="1"/>
  <c r="Q507" i="75" s="1"/>
  <c r="P508" i="75" a="1"/>
  <c r="P508" i="75" s="1"/>
  <c r="Q508" i="75" s="1"/>
  <c r="P509" i="75" a="1"/>
  <c r="P509" i="75" s="1"/>
  <c r="Q509" i="75" s="1"/>
  <c r="P510" i="75" a="1"/>
  <c r="P510" i="75" s="1"/>
  <c r="Q510" i="75" s="1"/>
  <c r="P511" i="75" a="1"/>
  <c r="P511" i="75" s="1"/>
  <c r="Q511" i="75" s="1"/>
  <c r="P512" i="75" a="1"/>
  <c r="P512" i="75" s="1"/>
  <c r="Q512" i="75" s="1"/>
  <c r="P513" i="75" a="1"/>
  <c r="P513" i="75" s="1"/>
  <c r="Q513" i="75" s="1"/>
  <c r="P514" i="75" a="1"/>
  <c r="P514" i="75" s="1"/>
  <c r="Q514" i="75" s="1"/>
  <c r="P515" i="75" a="1"/>
  <c r="P515" i="75" s="1"/>
  <c r="Q515" i="75" s="1"/>
  <c r="P516" i="75" a="1"/>
  <c r="P516" i="75" s="1"/>
  <c r="Q516" i="75" s="1"/>
  <c r="P517" i="75" a="1"/>
  <c r="P517" i="75" s="1"/>
  <c r="Q517" i="75" s="1"/>
  <c r="P518" i="75" a="1"/>
  <c r="P518" i="75" s="1"/>
  <c r="Q518" i="75" s="1"/>
  <c r="P519" i="75" a="1"/>
  <c r="P519" i="75" s="1"/>
  <c r="Q519" i="75" s="1"/>
  <c r="P520" i="75" a="1"/>
  <c r="P520" i="75" s="1"/>
  <c r="Q520" i="75" s="1"/>
  <c r="P521" i="75" a="1"/>
  <c r="P521" i="75" s="1"/>
  <c r="Q521" i="75" s="1"/>
  <c r="P522" i="75" a="1"/>
  <c r="P522" i="75" s="1"/>
  <c r="Q522" i="75" s="1"/>
  <c r="P523" i="75" a="1"/>
  <c r="P523" i="75" s="1"/>
  <c r="Q523" i="75" s="1"/>
  <c r="P524" i="75" a="1"/>
  <c r="P524" i="75" s="1"/>
  <c r="Q524" i="75" s="1"/>
  <c r="P525" i="75" a="1"/>
  <c r="P525" i="75" s="1"/>
  <c r="Q525" i="75" s="1"/>
  <c r="P526" i="75" a="1"/>
  <c r="P526" i="75" s="1"/>
  <c r="Q526" i="75" s="1"/>
  <c r="P527" i="75" a="1"/>
  <c r="P527" i="75" s="1"/>
  <c r="Q527" i="75" s="1"/>
  <c r="P528" i="75" a="1"/>
  <c r="P528" i="75" s="1"/>
  <c r="Q528" i="75" s="1"/>
  <c r="P529" i="75" a="1"/>
  <c r="P529" i="75" s="1"/>
  <c r="Q529" i="75" s="1"/>
  <c r="P530" i="75" a="1"/>
  <c r="P530" i="75" s="1"/>
  <c r="Q530" i="75" s="1"/>
  <c r="P531" i="75" a="1"/>
  <c r="P531" i="75" s="1"/>
  <c r="Q531" i="75" s="1"/>
  <c r="P532" i="75" a="1"/>
  <c r="P532" i="75" s="1"/>
  <c r="Q532" i="75" s="1"/>
  <c r="P533" i="75" a="1"/>
  <c r="P533" i="75" s="1"/>
  <c r="Q533" i="75" s="1"/>
  <c r="P534" i="75" a="1"/>
  <c r="P534" i="75" s="1"/>
  <c r="Q534" i="75" s="1"/>
  <c r="P535" i="75" a="1"/>
  <c r="P535" i="75" s="1"/>
  <c r="Q535" i="75" s="1"/>
  <c r="P536" i="75" a="1"/>
  <c r="P536" i="75"/>
  <c r="Q536" i="75" s="1"/>
  <c r="P537" i="75" a="1"/>
  <c r="P537" i="75" s="1"/>
  <c r="Q537" i="75" s="1"/>
  <c r="P538" i="75" a="1"/>
  <c r="P538" i="75" s="1"/>
  <c r="Q538" i="75" s="1"/>
  <c r="P539" i="75" a="1"/>
  <c r="P539" i="75" s="1"/>
  <c r="Q539" i="75" s="1"/>
  <c r="P540" i="75" a="1"/>
  <c r="P540" i="75" s="1"/>
  <c r="Q540" i="75" s="1"/>
  <c r="P541" i="75" a="1"/>
  <c r="P541" i="75" s="1"/>
  <c r="Q541" i="75" s="1"/>
  <c r="P542" i="75" a="1"/>
  <c r="P542" i="75" s="1"/>
  <c r="Q542" i="75" s="1"/>
  <c r="P543" i="75" a="1"/>
  <c r="P543" i="75" s="1"/>
  <c r="Q543" i="75" s="1"/>
  <c r="P544" i="75" a="1"/>
  <c r="P544" i="75" s="1"/>
  <c r="Q544" i="75" s="1"/>
  <c r="P545" i="75" a="1"/>
  <c r="P545" i="75" s="1"/>
  <c r="Q545" i="75" s="1"/>
  <c r="P546" i="75" a="1"/>
  <c r="P546" i="75" s="1"/>
  <c r="Q546" i="75" s="1"/>
  <c r="P547" i="75" a="1"/>
  <c r="P547" i="75" s="1"/>
  <c r="Q547" i="75" s="1"/>
  <c r="P548" i="75" a="1"/>
  <c r="P548" i="75" s="1"/>
  <c r="Q548" i="75" s="1"/>
  <c r="P549" i="75" a="1"/>
  <c r="P549" i="75" s="1"/>
  <c r="Q549" i="75" s="1"/>
  <c r="P550" i="75" a="1"/>
  <c r="P550" i="75" s="1"/>
  <c r="Q550" i="75" s="1"/>
  <c r="P551" i="75" a="1"/>
  <c r="P551" i="75" s="1"/>
  <c r="Q551" i="75" s="1"/>
  <c r="P552" i="75" a="1"/>
  <c r="P552" i="75" s="1"/>
  <c r="Q552" i="75" s="1"/>
  <c r="P553" i="75" a="1"/>
  <c r="P553" i="75" s="1"/>
  <c r="Q553" i="75" s="1"/>
  <c r="P554" i="75" a="1"/>
  <c r="P554" i="75" s="1"/>
  <c r="Q554" i="75" s="1"/>
  <c r="P555" i="75" a="1"/>
  <c r="P555" i="75" s="1"/>
  <c r="Q555" i="75" s="1"/>
  <c r="P556" i="75" a="1"/>
  <c r="P556" i="75" s="1"/>
  <c r="Q556" i="75" s="1"/>
  <c r="P557" i="75" a="1"/>
  <c r="P557" i="75" s="1"/>
  <c r="Q557" i="75" s="1"/>
  <c r="P558" i="75" a="1"/>
  <c r="P558" i="75" s="1"/>
  <c r="Q558" i="75" s="1"/>
  <c r="P559" i="75" a="1"/>
  <c r="P559" i="75" s="1"/>
  <c r="Q559" i="75" s="1"/>
  <c r="P560" i="75" a="1"/>
  <c r="P560" i="75" s="1"/>
  <c r="Q560" i="75" s="1"/>
  <c r="P561" i="75" a="1"/>
  <c r="P561" i="75" s="1"/>
  <c r="Q561" i="75" s="1"/>
  <c r="P562" i="75" a="1"/>
  <c r="P562" i="75" s="1"/>
  <c r="Q562" i="75" s="1"/>
  <c r="P563" i="75" a="1"/>
  <c r="P563" i="75" s="1"/>
  <c r="Q563" i="75" s="1"/>
  <c r="P564" i="75" a="1"/>
  <c r="P564" i="75" s="1"/>
  <c r="Q564" i="75" s="1"/>
  <c r="P565" i="75" a="1"/>
  <c r="P565" i="75" s="1"/>
  <c r="Q565" i="75" s="1"/>
  <c r="P566" i="75" a="1"/>
  <c r="P566" i="75" s="1"/>
  <c r="Q566" i="75" s="1"/>
  <c r="P567" i="75" a="1"/>
  <c r="P567" i="75" s="1"/>
  <c r="Q567" i="75" s="1"/>
  <c r="P568" i="75" a="1"/>
  <c r="P568" i="75" s="1"/>
  <c r="Q568" i="75" s="1"/>
  <c r="P569" i="75" a="1"/>
  <c r="P569" i="75" s="1"/>
  <c r="Q569" i="75" s="1"/>
  <c r="P570" i="75" a="1"/>
  <c r="P570" i="75" s="1"/>
  <c r="Q570" i="75" s="1"/>
  <c r="P571" i="75" a="1"/>
  <c r="P571" i="75" s="1"/>
  <c r="Q571" i="75" s="1"/>
  <c r="P572" i="75" a="1"/>
  <c r="P572" i="75" s="1"/>
  <c r="Q572" i="75" s="1"/>
  <c r="P573" i="75" a="1"/>
  <c r="P573" i="75" s="1"/>
  <c r="Q573" i="75" s="1"/>
  <c r="P574" i="75" a="1"/>
  <c r="P574" i="75" s="1"/>
  <c r="Q574" i="75" s="1"/>
  <c r="P575" i="75" a="1"/>
  <c r="P575" i="75" s="1"/>
  <c r="Q575" i="75" s="1"/>
  <c r="P576" i="75" a="1"/>
  <c r="P576" i="75" s="1"/>
  <c r="Q576" i="75" s="1"/>
  <c r="P577" i="75" a="1"/>
  <c r="P577" i="75" s="1"/>
  <c r="Q577" i="75" s="1"/>
  <c r="P578" i="75" a="1"/>
  <c r="P578" i="75" s="1"/>
  <c r="Q578" i="75" s="1"/>
  <c r="P579" i="75" a="1"/>
  <c r="P579" i="75" s="1"/>
  <c r="Q579" i="75" s="1"/>
  <c r="P580" i="75" a="1"/>
  <c r="P580" i="75" s="1"/>
  <c r="Q580" i="75" s="1"/>
  <c r="P581" i="75" a="1"/>
  <c r="P581" i="75" s="1"/>
  <c r="Q581" i="75" s="1"/>
  <c r="P582" i="75" a="1"/>
  <c r="P582" i="75" s="1"/>
  <c r="Q582" i="75" s="1"/>
  <c r="P583" i="75" a="1"/>
  <c r="P583" i="75" s="1"/>
  <c r="Q583" i="75" s="1"/>
  <c r="P584" i="75" a="1"/>
  <c r="P584" i="75"/>
  <c r="Q584" i="75" s="1"/>
  <c r="P585" i="75" a="1"/>
  <c r="P585" i="75" s="1"/>
  <c r="Q585" i="75" s="1"/>
  <c r="P586" i="75" a="1"/>
  <c r="P586" i="75" s="1"/>
  <c r="Q586" i="75" s="1"/>
  <c r="P587" i="75" a="1"/>
  <c r="P587" i="75" s="1"/>
  <c r="Q587" i="75" s="1"/>
  <c r="P588" i="75" a="1"/>
  <c r="P588" i="75" s="1"/>
  <c r="Q588" i="75" s="1"/>
  <c r="P589" i="75" a="1"/>
  <c r="P589" i="75" s="1"/>
  <c r="Q589" i="75" s="1"/>
  <c r="P590" i="75" a="1"/>
  <c r="P590" i="75" s="1"/>
  <c r="Q590" i="75" s="1"/>
  <c r="P591" i="75" a="1"/>
  <c r="P591" i="75" s="1"/>
  <c r="Q591" i="75" s="1"/>
  <c r="P592" i="75" a="1"/>
  <c r="P592" i="75" s="1"/>
  <c r="Q592" i="75" s="1"/>
  <c r="P593" i="75" a="1"/>
  <c r="P593" i="75" s="1"/>
  <c r="Q593" i="75" s="1"/>
  <c r="P594" i="75" a="1"/>
  <c r="P594" i="75" s="1"/>
  <c r="Q594" i="75" s="1"/>
  <c r="P595" i="75" a="1"/>
  <c r="P595" i="75" s="1"/>
  <c r="Q595" i="75" s="1"/>
  <c r="P596" i="75" a="1"/>
  <c r="P596" i="75" s="1"/>
  <c r="Q596" i="75" s="1"/>
  <c r="P597" i="75" a="1"/>
  <c r="P597" i="75" s="1"/>
  <c r="Q597" i="75" s="1"/>
  <c r="P598" i="75" a="1"/>
  <c r="P598" i="75" s="1"/>
  <c r="Q598" i="75" s="1"/>
  <c r="P599" i="75" a="1"/>
  <c r="P599" i="75" s="1"/>
  <c r="Q599" i="75" s="1"/>
  <c r="P600" i="75" a="1"/>
  <c r="P600" i="75" s="1"/>
  <c r="Q600" i="75" s="1"/>
  <c r="P601" i="75" a="1"/>
  <c r="P601" i="75" s="1"/>
  <c r="Q601" i="75" s="1"/>
  <c r="P602" i="75" a="1"/>
  <c r="P602" i="75" s="1"/>
  <c r="Q602" i="75" s="1"/>
  <c r="P603" i="75" a="1"/>
  <c r="P603" i="75" s="1"/>
  <c r="Q603" i="75" s="1"/>
  <c r="P604" i="75" a="1"/>
  <c r="P604" i="75" s="1"/>
  <c r="Q604" i="75" s="1"/>
  <c r="P605" i="75" a="1"/>
  <c r="P605" i="75" s="1"/>
  <c r="Q605" i="75" s="1"/>
  <c r="P606" i="75" a="1"/>
  <c r="P606" i="75" s="1"/>
  <c r="Q606" i="75" s="1"/>
  <c r="P607" i="75" a="1"/>
  <c r="P607" i="75" s="1"/>
  <c r="Q607" i="75" s="1"/>
  <c r="P608" i="75" a="1"/>
  <c r="P608" i="75" s="1"/>
  <c r="Q608" i="75" s="1"/>
  <c r="P303" i="75" a="1"/>
  <c r="P303" i="75" s="1"/>
  <c r="Q303" i="75" s="1"/>
  <c r="P304" i="75" a="1"/>
  <c r="P304" i="75" s="1"/>
  <c r="Q304" i="75" s="1"/>
  <c r="P305" i="75" a="1"/>
  <c r="P305" i="75" s="1"/>
  <c r="Q305" i="75" s="1"/>
  <c r="P306" i="75" a="1"/>
  <c r="P306" i="75" s="1"/>
  <c r="Q306" i="75" s="1"/>
  <c r="P307" i="75" a="1"/>
  <c r="P307" i="75" s="1"/>
  <c r="Q307" i="75" s="1"/>
  <c r="P308" i="75" a="1"/>
  <c r="P308" i="75" s="1"/>
  <c r="Q308" i="75" s="1"/>
  <c r="P309" i="75" a="1"/>
  <c r="P309" i="75" s="1"/>
  <c r="Q309" i="75" s="1"/>
  <c r="P310" i="75" a="1"/>
  <c r="P310" i="75" s="1"/>
  <c r="Q310" i="75" s="1"/>
  <c r="P311" i="75" a="1"/>
  <c r="P311" i="75" s="1"/>
  <c r="Q311" i="75" s="1"/>
  <c r="P312" i="75" a="1"/>
  <c r="P312" i="75" s="1"/>
  <c r="Q312" i="75" s="1"/>
  <c r="P302" i="75" a="1"/>
  <c r="P302" i="75" s="1"/>
  <c r="Q302" i="75" s="1"/>
  <c r="P271" i="75" a="1"/>
  <c r="P271" i="75" s="1"/>
  <c r="Q271" i="75" s="1"/>
  <c r="P272" i="75" a="1"/>
  <c r="P272" i="75" s="1"/>
  <c r="Q272" i="75" s="1"/>
  <c r="P273" i="75" a="1"/>
  <c r="P273" i="75" s="1"/>
  <c r="Q273" i="75" s="1"/>
  <c r="P274" i="75" a="1"/>
  <c r="P274" i="75" s="1"/>
  <c r="Q274" i="75" s="1"/>
  <c r="P275" i="75" a="1"/>
  <c r="P275" i="75" s="1"/>
  <c r="Q275" i="75" s="1"/>
  <c r="P276" i="75" a="1"/>
  <c r="P276" i="75" s="1"/>
  <c r="Q276" i="75" s="1"/>
  <c r="P277" i="75" a="1"/>
  <c r="P277" i="75" s="1"/>
  <c r="Q277" i="75" s="1"/>
  <c r="P278" i="75" a="1"/>
  <c r="P278" i="75"/>
  <c r="Q278" i="75" s="1"/>
  <c r="P279" i="75" a="1"/>
  <c r="P279" i="75" s="1"/>
  <c r="Q279" i="75" s="1"/>
  <c r="P280" i="75" a="1"/>
  <c r="P280" i="75" s="1"/>
  <c r="Q280" i="75" s="1"/>
  <c r="P281" i="75" a="1"/>
  <c r="P281" i="75" s="1"/>
  <c r="Q281" i="75" s="1"/>
  <c r="P282" i="75" a="1"/>
  <c r="P282" i="75" s="1"/>
  <c r="Q282" i="75" s="1"/>
  <c r="P283" i="75" a="1"/>
  <c r="P283" i="75" s="1"/>
  <c r="Q283" i="75" s="1"/>
  <c r="P284" i="75" a="1"/>
  <c r="P284" i="75" s="1"/>
  <c r="Q284" i="75" s="1"/>
  <c r="P285" i="75" a="1"/>
  <c r="P285" i="75" s="1"/>
  <c r="Q285" i="75" s="1"/>
  <c r="P286" i="75" a="1"/>
  <c r="P286" i="75" s="1"/>
  <c r="Q286" i="75" s="1"/>
  <c r="P287" i="75" a="1"/>
  <c r="P287" i="75" s="1"/>
  <c r="Q287" i="75" s="1"/>
  <c r="P288" i="75" a="1"/>
  <c r="P288" i="75" s="1"/>
  <c r="Q288" i="75" s="1"/>
  <c r="P289" i="75" a="1"/>
  <c r="P289" i="75" s="1"/>
  <c r="Q289" i="75" s="1"/>
  <c r="P290" i="75" a="1"/>
  <c r="P290" i="75" s="1"/>
  <c r="Q290" i="75" s="1"/>
  <c r="P291" i="75" a="1"/>
  <c r="P291" i="75" s="1"/>
  <c r="Q291" i="75" s="1"/>
  <c r="P292" i="75" a="1"/>
  <c r="P292" i="75" s="1"/>
  <c r="Q292" i="75" s="1"/>
  <c r="P293" i="75" a="1"/>
  <c r="P293" i="75" s="1"/>
  <c r="Q293" i="75" s="1"/>
  <c r="P294" i="75" a="1"/>
  <c r="P294" i="75" s="1"/>
  <c r="Q294" i="75" s="1"/>
  <c r="P295" i="75" a="1"/>
  <c r="P295" i="75" s="1"/>
  <c r="Q295" i="75" s="1"/>
  <c r="P296" i="75" a="1"/>
  <c r="P296" i="75" s="1"/>
  <c r="Q296" i="75" s="1"/>
  <c r="P297" i="75" a="1"/>
  <c r="P297" i="75" s="1"/>
  <c r="Q297" i="75" s="1"/>
  <c r="P298" i="75" a="1"/>
  <c r="P298" i="75" s="1"/>
  <c r="Q298" i="75" s="1"/>
  <c r="P299" i="75" a="1"/>
  <c r="P299" i="75" s="1"/>
  <c r="Q299" i="75" s="1"/>
  <c r="P300" i="75" a="1"/>
  <c r="P300" i="75" s="1"/>
  <c r="Q300" i="75" s="1"/>
  <c r="P301" i="75" a="1"/>
  <c r="P301" i="75" s="1"/>
  <c r="Q301" i="75" s="1"/>
  <c r="P252" i="75" a="1"/>
  <c r="P252" i="75" s="1"/>
  <c r="Q252" i="75" s="1"/>
  <c r="P253" i="75" a="1"/>
  <c r="P253" i="75" s="1"/>
  <c r="Q253" i="75" s="1"/>
  <c r="P254" i="75" a="1"/>
  <c r="P254" i="75" s="1"/>
  <c r="Q254" i="75" s="1"/>
  <c r="P255" i="75" a="1"/>
  <c r="P255" i="75" s="1"/>
  <c r="Q255" i="75" s="1"/>
  <c r="P256" i="75" a="1"/>
  <c r="P256" i="75" s="1"/>
  <c r="Q256" i="75" s="1"/>
  <c r="P257" i="75" a="1"/>
  <c r="P257" i="75" s="1"/>
  <c r="Q257" i="75" s="1"/>
  <c r="P258" i="75" a="1"/>
  <c r="P258" i="75" s="1"/>
  <c r="Q258" i="75" s="1"/>
  <c r="P259" i="75" a="1"/>
  <c r="P259" i="75" s="1"/>
  <c r="Q259" i="75" s="1"/>
  <c r="P260" i="75" a="1"/>
  <c r="P260" i="75" s="1"/>
  <c r="Q260" i="75" s="1"/>
  <c r="P261" i="75" a="1"/>
  <c r="P261" i="75" s="1"/>
  <c r="Q261" i="75" s="1"/>
  <c r="P262" i="75" a="1"/>
  <c r="P262" i="75" s="1"/>
  <c r="Q262" i="75" s="1"/>
  <c r="P263" i="75" a="1"/>
  <c r="P263" i="75" s="1"/>
  <c r="Q263" i="75" s="1"/>
  <c r="P264" i="75" a="1"/>
  <c r="P264" i="75" s="1"/>
  <c r="Q264" i="75" s="1"/>
  <c r="P265" i="75" a="1"/>
  <c r="P265" i="75" s="1"/>
  <c r="Q265" i="75" s="1"/>
  <c r="P266" i="75" a="1"/>
  <c r="P266" i="75"/>
  <c r="Q266" i="75" s="1"/>
  <c r="P267" i="75" a="1"/>
  <c r="P267" i="75" s="1"/>
  <c r="Q267" i="75" s="1"/>
  <c r="P268" i="75" a="1"/>
  <c r="P268" i="75" s="1"/>
  <c r="Q268" i="75" s="1"/>
  <c r="P269" i="75" a="1"/>
  <c r="P269" i="75" s="1"/>
  <c r="Q269" i="75" s="1"/>
  <c r="P270" i="75" a="1"/>
  <c r="P270" i="75" s="1"/>
  <c r="Q270" i="75" s="1"/>
  <c r="P235" i="75" a="1"/>
  <c r="P235" i="75" s="1"/>
  <c r="Q235" i="75" s="1"/>
  <c r="P236" i="75" a="1"/>
  <c r="P236" i="75" s="1"/>
  <c r="Q236" i="75" s="1"/>
  <c r="P237" i="75" a="1"/>
  <c r="P237" i="75" s="1"/>
  <c r="Q237" i="75" s="1"/>
  <c r="P238" i="75" a="1"/>
  <c r="P238" i="75" s="1"/>
  <c r="Q238" i="75" s="1"/>
  <c r="P239" i="75" a="1"/>
  <c r="P239" i="75" s="1"/>
  <c r="Q239" i="75" s="1"/>
  <c r="P240" i="75" a="1"/>
  <c r="P240" i="75" s="1"/>
  <c r="Q240" i="75" s="1"/>
  <c r="P241" i="75" a="1"/>
  <c r="P241" i="75" s="1"/>
  <c r="Q241" i="75" s="1"/>
  <c r="P242" i="75" a="1"/>
  <c r="P242" i="75" s="1"/>
  <c r="Q242" i="75" s="1"/>
  <c r="P243" i="75" a="1"/>
  <c r="P243" i="75" s="1"/>
  <c r="Q243" i="75" s="1"/>
  <c r="P244" i="75" a="1"/>
  <c r="P244" i="75" s="1"/>
  <c r="Q244" i="75" s="1"/>
  <c r="P245" i="75" a="1"/>
  <c r="P245" i="75" s="1"/>
  <c r="Q245" i="75" s="1"/>
  <c r="P246" i="75" a="1"/>
  <c r="P246" i="75" s="1"/>
  <c r="Q246" i="75" s="1"/>
  <c r="P247" i="75" a="1"/>
  <c r="P247" i="75" s="1"/>
  <c r="Q247" i="75" s="1"/>
  <c r="P248" i="75" a="1"/>
  <c r="P248" i="75" s="1"/>
  <c r="Q248" i="75" s="1"/>
  <c r="P249" i="75" a="1"/>
  <c r="P249" i="75" s="1"/>
  <c r="Q249" i="75" s="1"/>
  <c r="P250" i="75" a="1"/>
  <c r="P250" i="75" s="1"/>
  <c r="Q250" i="75" s="1"/>
  <c r="P251" i="75" a="1"/>
  <c r="P251" i="75" s="1"/>
  <c r="Q251" i="75" s="1"/>
  <c r="P212" i="75" a="1"/>
  <c r="P212" i="75" s="1"/>
  <c r="Q212" i="75" s="1"/>
  <c r="P213" i="75" a="1"/>
  <c r="P213" i="75" s="1"/>
  <c r="Q213" i="75" s="1"/>
  <c r="P214" i="75" a="1"/>
  <c r="P214" i="75" s="1"/>
  <c r="Q214" i="75" s="1"/>
  <c r="P215" i="75" a="1"/>
  <c r="P215" i="75" s="1"/>
  <c r="Q215" i="75" s="1"/>
  <c r="P216" i="75" a="1"/>
  <c r="P216" i="75" s="1"/>
  <c r="Q216" i="75" s="1"/>
  <c r="P217" i="75" a="1"/>
  <c r="P217" i="75" s="1"/>
  <c r="Q217" i="75" s="1"/>
  <c r="P218" i="75" a="1"/>
  <c r="P218" i="75" s="1"/>
  <c r="Q218" i="75" s="1"/>
  <c r="P219" i="75" a="1"/>
  <c r="P219" i="75"/>
  <c r="Q219" i="75" s="1"/>
  <c r="P220" i="75" a="1"/>
  <c r="P220" i="75" s="1"/>
  <c r="Q220" i="75" s="1"/>
  <c r="P221" i="75" a="1"/>
  <c r="P221" i="75" s="1"/>
  <c r="Q221" i="75" s="1"/>
  <c r="P222" i="75" a="1"/>
  <c r="P222" i="75" s="1"/>
  <c r="Q222" i="75" s="1"/>
  <c r="P223" i="75" a="1"/>
  <c r="P223" i="75" s="1"/>
  <c r="Q223" i="75" s="1"/>
  <c r="P224" i="75" a="1"/>
  <c r="P224" i="75" s="1"/>
  <c r="Q224" i="75" s="1"/>
  <c r="P225" i="75" a="1"/>
  <c r="P225" i="75" s="1"/>
  <c r="Q225" i="75" s="1"/>
  <c r="P226" i="75" a="1"/>
  <c r="P226" i="75" s="1"/>
  <c r="Q226" i="75" s="1"/>
  <c r="P227" i="75" a="1"/>
  <c r="P227" i="75" s="1"/>
  <c r="Q227" i="75" s="1"/>
  <c r="P228" i="75" a="1"/>
  <c r="P228" i="75" s="1"/>
  <c r="Q228" i="75" s="1"/>
  <c r="P229" i="75" a="1"/>
  <c r="P229" i="75" s="1"/>
  <c r="Q229" i="75" s="1"/>
  <c r="P230" i="75" a="1"/>
  <c r="P230" i="75" s="1"/>
  <c r="Q230" i="75" s="1"/>
  <c r="P231" i="75" a="1"/>
  <c r="P231" i="75" s="1"/>
  <c r="Q231" i="75" s="1"/>
  <c r="P232" i="75" a="1"/>
  <c r="P232" i="75" s="1"/>
  <c r="Q232" i="75" s="1"/>
  <c r="P233" i="75" a="1"/>
  <c r="P233" i="75"/>
  <c r="Q233" i="75" s="1"/>
  <c r="P234" i="75" a="1"/>
  <c r="P234" i="75" s="1"/>
  <c r="Q234" i="75" s="1"/>
  <c r="P194" i="75" a="1"/>
  <c r="P194" i="75" s="1"/>
  <c r="Q194" i="75" s="1"/>
  <c r="P195" i="75" a="1"/>
  <c r="P195" i="75" s="1"/>
  <c r="Q195" i="75" s="1"/>
  <c r="P196" i="75" a="1"/>
  <c r="P196" i="75" s="1"/>
  <c r="Q196" i="75" s="1"/>
  <c r="P197" i="75" a="1"/>
  <c r="P197" i="75" s="1"/>
  <c r="Q197" i="75" s="1"/>
  <c r="P198" i="75" a="1"/>
  <c r="P198" i="75" s="1"/>
  <c r="Q198" i="75" s="1"/>
  <c r="P199" i="75" a="1"/>
  <c r="P199" i="75" s="1"/>
  <c r="Q199" i="75" s="1"/>
  <c r="P200" i="75" a="1"/>
  <c r="P200" i="75" s="1"/>
  <c r="Q200" i="75" s="1"/>
  <c r="P201" i="75" a="1"/>
  <c r="P201" i="75" s="1"/>
  <c r="Q201" i="75" s="1"/>
  <c r="P202" i="75" a="1"/>
  <c r="P202" i="75" s="1"/>
  <c r="Q202" i="75" s="1"/>
  <c r="P203" i="75" a="1"/>
  <c r="P203" i="75" s="1"/>
  <c r="Q203" i="75" s="1"/>
  <c r="P204" i="75" a="1"/>
  <c r="P204" i="75" s="1"/>
  <c r="Q204" i="75" s="1"/>
  <c r="P205" i="75" a="1"/>
  <c r="P205" i="75" s="1"/>
  <c r="Q205" i="75" s="1"/>
  <c r="P206" i="75" a="1"/>
  <c r="P206" i="75" s="1"/>
  <c r="Q206" i="75" s="1"/>
  <c r="P207" i="75" a="1"/>
  <c r="P207" i="75"/>
  <c r="Q207" i="75" s="1"/>
  <c r="P208" i="75" a="1"/>
  <c r="P208" i="75" s="1"/>
  <c r="Q208" i="75" s="1"/>
  <c r="P209" i="75" a="1"/>
  <c r="P209" i="75" s="1"/>
  <c r="Q209" i="75" s="1"/>
  <c r="P210" i="75" a="1"/>
  <c r="P210" i="75" s="1"/>
  <c r="Q210" i="75" s="1"/>
  <c r="P211" i="75" a="1"/>
  <c r="P211" i="75" s="1"/>
  <c r="Q211" i="75" s="1"/>
  <c r="P153" i="75" a="1"/>
  <c r="P153" i="75" s="1"/>
  <c r="Q153" i="75" s="1"/>
  <c r="P154" i="75" a="1"/>
  <c r="P154" i="75" s="1"/>
  <c r="Q154" i="75" s="1"/>
  <c r="P155" i="75" a="1"/>
  <c r="P155" i="75" s="1"/>
  <c r="Q155" i="75" s="1"/>
  <c r="P156" i="75" a="1"/>
  <c r="P156" i="75" s="1"/>
  <c r="Q156" i="75" s="1"/>
  <c r="P157" i="75" a="1"/>
  <c r="P157" i="75" s="1"/>
  <c r="Q157" i="75" s="1"/>
  <c r="P158" i="75" a="1"/>
  <c r="P158" i="75" s="1"/>
  <c r="Q158" i="75" s="1"/>
  <c r="P159" i="75" a="1"/>
  <c r="P159" i="75" s="1"/>
  <c r="Q159" i="75" s="1"/>
  <c r="P160" i="75" a="1"/>
  <c r="P160" i="75"/>
  <c r="Q160" i="75" s="1"/>
  <c r="P161" i="75" a="1"/>
  <c r="P161" i="75" s="1"/>
  <c r="Q161" i="75" s="1"/>
  <c r="P162" i="75" a="1"/>
  <c r="P162" i="75" s="1"/>
  <c r="Q162" i="75" s="1"/>
  <c r="P163" i="75" a="1"/>
  <c r="P163" i="75" s="1"/>
  <c r="Q163" i="75" s="1"/>
  <c r="P164" i="75" a="1"/>
  <c r="P164" i="75" s="1"/>
  <c r="Q164" i="75" s="1"/>
  <c r="P165" i="75" a="1"/>
  <c r="P165" i="75" s="1"/>
  <c r="Q165" i="75" s="1"/>
  <c r="P166" i="75" a="1"/>
  <c r="P166" i="75" s="1"/>
  <c r="Q166" i="75" s="1"/>
  <c r="P167" i="75" a="1"/>
  <c r="P167" i="75" s="1"/>
  <c r="Q167" i="75" s="1"/>
  <c r="P168" i="75" a="1"/>
  <c r="P168" i="75" s="1"/>
  <c r="Q168" i="75" s="1"/>
  <c r="P169" i="75" a="1"/>
  <c r="P169" i="75" s="1"/>
  <c r="Q169" i="75" s="1"/>
  <c r="P170" i="75" a="1"/>
  <c r="P170" i="75" s="1"/>
  <c r="Q170" i="75" s="1"/>
  <c r="P171" i="75" a="1"/>
  <c r="P171" i="75" s="1"/>
  <c r="Q171" i="75" s="1"/>
  <c r="P172" i="75" a="1"/>
  <c r="P172" i="75" s="1"/>
  <c r="Q172" i="75" s="1"/>
  <c r="P173" i="75" a="1"/>
  <c r="P173" i="75" s="1"/>
  <c r="Q173" i="75" s="1"/>
  <c r="P174" i="75" a="1"/>
  <c r="P174" i="75" s="1"/>
  <c r="Q174" i="75" s="1"/>
  <c r="P175" i="75" a="1"/>
  <c r="P175" i="75" s="1"/>
  <c r="Q175" i="75" s="1"/>
  <c r="P176" i="75" a="1"/>
  <c r="P176" i="75" s="1"/>
  <c r="Q176" i="75" s="1"/>
  <c r="P177" i="75" a="1"/>
  <c r="P177" i="75" s="1"/>
  <c r="Q177" i="75" s="1"/>
  <c r="P178" i="75" a="1"/>
  <c r="P178" i="75" s="1"/>
  <c r="Q178" i="75" s="1"/>
  <c r="P179" i="75" a="1"/>
  <c r="P179" i="75" s="1"/>
  <c r="Q179" i="75" s="1"/>
  <c r="P180" i="75" a="1"/>
  <c r="P180" i="75" s="1"/>
  <c r="Q180" i="75" s="1"/>
  <c r="P181" i="75" a="1"/>
  <c r="P181" i="75" s="1"/>
  <c r="Q181" i="75" s="1"/>
  <c r="P182" i="75" a="1"/>
  <c r="P182" i="75" s="1"/>
  <c r="Q182" i="75" s="1"/>
  <c r="P183" i="75" a="1"/>
  <c r="P183" i="75" s="1"/>
  <c r="Q183" i="75" s="1"/>
  <c r="P184" i="75" a="1"/>
  <c r="P184" i="75" s="1"/>
  <c r="Q184" i="75" s="1"/>
  <c r="P185" i="75" a="1"/>
  <c r="P185" i="75" s="1"/>
  <c r="Q185" i="75" s="1"/>
  <c r="P186" i="75" a="1"/>
  <c r="P186" i="75" s="1"/>
  <c r="Q186" i="75" s="1"/>
  <c r="P187" i="75" a="1"/>
  <c r="P187" i="75" s="1"/>
  <c r="Q187" i="75" s="1"/>
  <c r="P188" i="75" a="1"/>
  <c r="P188" i="75" s="1"/>
  <c r="Q188" i="75" s="1"/>
  <c r="P189" i="75" a="1"/>
  <c r="P189" i="75" s="1"/>
  <c r="Q189" i="75" s="1"/>
  <c r="P190" i="75" a="1"/>
  <c r="P190" i="75" s="1"/>
  <c r="Q190" i="75" s="1"/>
  <c r="P191" i="75" a="1"/>
  <c r="P191" i="75" s="1"/>
  <c r="Q191" i="75" s="1"/>
  <c r="P192" i="75" a="1"/>
  <c r="P192" i="75" s="1"/>
  <c r="Q192" i="75" s="1"/>
  <c r="P193" i="75" a="1"/>
  <c r="P193" i="75" s="1"/>
  <c r="Q193" i="75" s="1"/>
  <c r="P152" i="75" a="1"/>
  <c r="P152" i="75" s="1"/>
  <c r="Q152" i="75" s="1"/>
  <c r="P78" i="75" a="1"/>
  <c r="P78" i="75" s="1"/>
  <c r="Q78" i="75" s="1"/>
  <c r="P79" i="75" a="1"/>
  <c r="P79" i="75" s="1"/>
  <c r="Q79" i="75" s="1"/>
  <c r="P80" i="75" a="1"/>
  <c r="P80" i="75" s="1"/>
  <c r="Q80" i="75" s="1"/>
  <c r="P81" i="75" a="1"/>
  <c r="P81" i="75" s="1"/>
  <c r="Q81" i="75" s="1"/>
  <c r="P82" i="75" a="1"/>
  <c r="P82" i="75" s="1"/>
  <c r="Q82" i="75" s="1"/>
  <c r="P83" i="75" a="1"/>
  <c r="P83" i="75" s="1"/>
  <c r="Q83" i="75" s="1"/>
  <c r="P84" i="75" a="1"/>
  <c r="P84" i="75" s="1"/>
  <c r="Q84" i="75" s="1"/>
  <c r="P85" i="75" a="1"/>
  <c r="P85" i="75" s="1"/>
  <c r="Q85" i="75" s="1"/>
  <c r="P86" i="75" a="1"/>
  <c r="P86" i="75" s="1"/>
  <c r="Q86" i="75" s="1"/>
  <c r="P87" i="75" a="1"/>
  <c r="P87" i="75" s="1"/>
  <c r="Q87" i="75" s="1"/>
  <c r="P88" i="75" a="1"/>
  <c r="P88" i="75" s="1"/>
  <c r="Q88" i="75" s="1"/>
  <c r="P89" i="75" a="1"/>
  <c r="P89" i="75" s="1"/>
  <c r="Q89" i="75" s="1"/>
  <c r="P90" i="75" a="1"/>
  <c r="P90" i="75" s="1"/>
  <c r="Q90" i="75" s="1"/>
  <c r="P91" i="75" a="1"/>
  <c r="P91" i="75" s="1"/>
  <c r="Q91" i="75" s="1"/>
  <c r="P92" i="75" a="1"/>
  <c r="P92" i="75" s="1"/>
  <c r="Q92" i="75" s="1"/>
  <c r="P93" i="75" a="1"/>
  <c r="P93" i="75" s="1"/>
  <c r="Q93" i="75" s="1"/>
  <c r="P94" i="75" a="1"/>
  <c r="P94" i="75" s="1"/>
  <c r="Q94" i="75" s="1"/>
  <c r="P95" i="75" a="1"/>
  <c r="P95" i="75" s="1"/>
  <c r="Q95" i="75" s="1"/>
  <c r="P96" i="75" a="1"/>
  <c r="P96" i="75" s="1"/>
  <c r="Q96" i="75" s="1"/>
  <c r="P97" i="75" a="1"/>
  <c r="P97" i="75" s="1"/>
  <c r="Q97" i="75" s="1"/>
  <c r="P98" i="75" a="1"/>
  <c r="P98" i="75" s="1"/>
  <c r="Q98" i="75" s="1"/>
  <c r="P99" i="75" a="1"/>
  <c r="P99" i="75" s="1"/>
  <c r="Q99" i="75" s="1"/>
  <c r="P100" i="75" a="1"/>
  <c r="P100" i="75" s="1"/>
  <c r="Q100" i="75" s="1"/>
  <c r="P101" i="75" a="1"/>
  <c r="P101" i="75" s="1"/>
  <c r="Q101" i="75" s="1"/>
  <c r="P102" i="75" a="1"/>
  <c r="P102" i="75" s="1"/>
  <c r="Q102" i="75" s="1"/>
  <c r="P103" i="75" a="1"/>
  <c r="P103" i="75" s="1"/>
  <c r="Q103" i="75" s="1"/>
  <c r="P104" i="75" a="1"/>
  <c r="P104" i="75" s="1"/>
  <c r="Q104" i="75" s="1"/>
  <c r="P105" i="75" a="1"/>
  <c r="P105" i="75" s="1"/>
  <c r="Q105" i="75" s="1"/>
  <c r="P106" i="75" a="1"/>
  <c r="P106" i="75" s="1"/>
  <c r="Q106" i="75" s="1"/>
  <c r="P107" i="75" a="1"/>
  <c r="P107" i="75" s="1"/>
  <c r="Q107" i="75" s="1"/>
  <c r="P108" i="75" a="1"/>
  <c r="P108" i="75" s="1"/>
  <c r="Q108" i="75" s="1"/>
  <c r="P109" i="75" a="1"/>
  <c r="P109" i="75" s="1"/>
  <c r="Q109" i="75" s="1"/>
  <c r="P110" i="75" a="1"/>
  <c r="P110" i="75" s="1"/>
  <c r="Q110" i="75" s="1"/>
  <c r="P111" i="75" a="1"/>
  <c r="P111" i="75" s="1"/>
  <c r="Q111" i="75" s="1"/>
  <c r="P112" i="75" a="1"/>
  <c r="P112" i="75" s="1"/>
  <c r="Q112" i="75" s="1"/>
  <c r="P113" i="75" a="1"/>
  <c r="P113" i="75" s="1"/>
  <c r="Q113" i="75" s="1"/>
  <c r="P114" i="75" a="1"/>
  <c r="P114" i="75" s="1"/>
  <c r="Q114" i="75" s="1"/>
  <c r="P115" i="75" a="1"/>
  <c r="P115" i="75" s="1"/>
  <c r="Q115" i="75" s="1"/>
  <c r="P116" i="75" a="1"/>
  <c r="P116" i="75" s="1"/>
  <c r="Q116" i="75" s="1"/>
  <c r="P117" i="75" a="1"/>
  <c r="P117" i="75" s="1"/>
  <c r="Q117" i="75" s="1"/>
  <c r="P118" i="75" a="1"/>
  <c r="P118" i="75" s="1"/>
  <c r="Q118" i="75" s="1"/>
  <c r="P119" i="75" a="1"/>
  <c r="P119" i="75" s="1"/>
  <c r="Q119" i="75" s="1"/>
  <c r="P120" i="75" a="1"/>
  <c r="P120" i="75" s="1"/>
  <c r="Q120" i="75" s="1"/>
  <c r="P121" i="75" a="1"/>
  <c r="P121" i="75" s="1"/>
  <c r="Q121" i="75" s="1"/>
  <c r="P122" i="75" a="1"/>
  <c r="P122" i="75" s="1"/>
  <c r="Q122" i="75" s="1"/>
  <c r="P123" i="75" a="1"/>
  <c r="P123" i="75" s="1"/>
  <c r="Q123" i="75" s="1"/>
  <c r="P124" i="75" a="1"/>
  <c r="P124" i="75" s="1"/>
  <c r="Q124" i="75" s="1"/>
  <c r="P125" i="75" a="1"/>
  <c r="P125" i="75" s="1"/>
  <c r="Q125" i="75" s="1"/>
  <c r="P126" i="75" a="1"/>
  <c r="P126" i="75" s="1"/>
  <c r="Q126" i="75" s="1"/>
  <c r="P127" i="75" a="1"/>
  <c r="P127" i="75" s="1"/>
  <c r="Q127" i="75" s="1"/>
  <c r="P128" i="75" a="1"/>
  <c r="P128" i="75" s="1"/>
  <c r="Q128" i="75" s="1"/>
  <c r="P129" i="75" a="1"/>
  <c r="P129" i="75" s="1"/>
  <c r="Q129" i="75" s="1"/>
  <c r="P130" i="75" a="1"/>
  <c r="P130" i="75" s="1"/>
  <c r="Q130" i="75" s="1"/>
  <c r="P131" i="75" a="1"/>
  <c r="P131" i="75" s="1"/>
  <c r="Q131" i="75" s="1"/>
  <c r="P132" i="75" a="1"/>
  <c r="P132" i="75" s="1"/>
  <c r="Q132" i="75" s="1"/>
  <c r="P133" i="75" a="1"/>
  <c r="P133" i="75" s="1"/>
  <c r="Q133" i="75" s="1"/>
  <c r="P134" i="75" a="1"/>
  <c r="P134" i="75" s="1"/>
  <c r="Q134" i="75" s="1"/>
  <c r="P135" i="75" a="1"/>
  <c r="P135" i="75" s="1"/>
  <c r="Q135" i="75" s="1"/>
  <c r="P136" i="75" a="1"/>
  <c r="P136" i="75" s="1"/>
  <c r="Q136" i="75" s="1"/>
  <c r="P137" i="75" a="1"/>
  <c r="P137" i="75" s="1"/>
  <c r="Q137" i="75" s="1"/>
  <c r="P138" i="75" a="1"/>
  <c r="P138" i="75" s="1"/>
  <c r="Q138" i="75" s="1"/>
  <c r="P139" i="75" a="1"/>
  <c r="P139" i="75" s="1"/>
  <c r="Q139" i="75" s="1"/>
  <c r="P140" i="75" a="1"/>
  <c r="P140" i="75" s="1"/>
  <c r="Q140" i="75" s="1"/>
  <c r="P141" i="75" a="1"/>
  <c r="P141" i="75" s="1"/>
  <c r="Q141" i="75" s="1"/>
  <c r="P142" i="75" a="1"/>
  <c r="P142" i="75" s="1"/>
  <c r="Q142" i="75" s="1"/>
  <c r="P143" i="75" a="1"/>
  <c r="P143" i="75" s="1"/>
  <c r="Q143" i="75" s="1"/>
  <c r="P144" i="75" a="1"/>
  <c r="P144" i="75" s="1"/>
  <c r="Q144" i="75" s="1"/>
  <c r="P145" i="75" a="1"/>
  <c r="P145" i="75" s="1"/>
  <c r="Q145" i="75" s="1"/>
  <c r="P146" i="75" a="1"/>
  <c r="P146" i="75" s="1"/>
  <c r="Q146" i="75" s="1"/>
  <c r="P147" i="75" a="1"/>
  <c r="P147" i="75"/>
  <c r="Q147" i="75" s="1"/>
  <c r="P148" i="75" a="1"/>
  <c r="P148" i="75" s="1"/>
  <c r="Q148" i="75" s="1"/>
  <c r="P149" i="75" a="1"/>
  <c r="P149" i="75" s="1"/>
  <c r="Q149" i="75" s="1"/>
  <c r="P150" i="75" a="1"/>
  <c r="P150" i="75" s="1"/>
  <c r="Q150" i="75" s="1"/>
  <c r="P151" i="75" a="1"/>
  <c r="P151" i="75" s="1"/>
  <c r="Q151" i="75" s="1"/>
  <c r="P75" i="75" a="1"/>
  <c r="P75" i="75" s="1"/>
  <c r="Q75" i="75" s="1"/>
  <c r="P76" i="75" a="1"/>
  <c r="P76" i="75" s="1"/>
  <c r="Q76" i="75" s="1"/>
  <c r="P77" i="75" a="1"/>
  <c r="P77" i="75" s="1"/>
  <c r="Q77" i="75" s="1"/>
  <c r="P58" i="75" a="1"/>
  <c r="P58" i="75" s="1"/>
  <c r="Q58" i="75" s="1"/>
  <c r="P59" i="75" a="1"/>
  <c r="P59" i="75" s="1"/>
  <c r="Q59" i="75" s="1"/>
  <c r="P60" i="75" a="1"/>
  <c r="P60" i="75" s="1"/>
  <c r="Q60" i="75" s="1"/>
  <c r="P61" i="75" a="1"/>
  <c r="P61" i="75" s="1"/>
  <c r="Q61" i="75" s="1"/>
  <c r="P62" i="75" a="1"/>
  <c r="P62" i="75" s="1"/>
  <c r="Q62" i="75" s="1"/>
  <c r="P63" i="75" a="1"/>
  <c r="P63" i="75" s="1"/>
  <c r="Q63" i="75" s="1"/>
  <c r="P64" i="75" a="1"/>
  <c r="P64" i="75" s="1"/>
  <c r="Q64" i="75" s="1"/>
  <c r="P65" i="75" a="1"/>
  <c r="P65" i="75" s="1"/>
  <c r="Q65" i="75" s="1"/>
  <c r="P66" i="75" a="1"/>
  <c r="P66" i="75" s="1"/>
  <c r="Q66" i="75" s="1"/>
  <c r="P67" i="75" a="1"/>
  <c r="P67" i="75" s="1"/>
  <c r="Q67" i="75" s="1"/>
  <c r="P68" i="75" a="1"/>
  <c r="P68" i="75" s="1"/>
  <c r="Q68" i="75" s="1"/>
  <c r="P69" i="75" a="1"/>
  <c r="P69" i="75" s="1"/>
  <c r="Q69" i="75" s="1"/>
  <c r="P70" i="75" a="1"/>
  <c r="P70" i="75" s="1"/>
  <c r="Q70" i="75" s="1"/>
  <c r="P71" i="75" a="1"/>
  <c r="P71" i="75" s="1"/>
  <c r="Q71" i="75" s="1"/>
  <c r="P72" i="75" a="1"/>
  <c r="P72" i="75" s="1"/>
  <c r="Q72" i="75" s="1"/>
  <c r="P73" i="75" a="1"/>
  <c r="P73" i="75" s="1"/>
  <c r="Q73" i="75" s="1"/>
  <c r="P74" i="75" a="1"/>
  <c r="P74" i="75" s="1"/>
  <c r="Q74" i="75" s="1"/>
  <c r="P33" i="75" a="1"/>
  <c r="P33" i="75" s="1"/>
  <c r="Q33" i="75" s="1"/>
  <c r="P34" i="75" a="1"/>
  <c r="P34" i="75" s="1"/>
  <c r="Q34" i="75" s="1"/>
  <c r="P35" i="75" a="1"/>
  <c r="P35" i="75" s="1"/>
  <c r="Q35" i="75" s="1"/>
  <c r="P36" i="75" a="1"/>
  <c r="P36" i="75" s="1"/>
  <c r="Q36" i="75" s="1"/>
  <c r="P37" i="75" a="1"/>
  <c r="P37" i="75" s="1"/>
  <c r="Q37" i="75" s="1"/>
  <c r="P38" i="75" a="1"/>
  <c r="P38" i="75" s="1"/>
  <c r="Q38" i="75" s="1"/>
  <c r="P39" i="75" a="1"/>
  <c r="P39" i="75" s="1"/>
  <c r="Q39" i="75" s="1"/>
  <c r="P40" i="75" a="1"/>
  <c r="P40" i="75" s="1"/>
  <c r="Q40" i="75" s="1"/>
  <c r="P41" i="75" a="1"/>
  <c r="P41" i="75" s="1"/>
  <c r="Q41" i="75" s="1"/>
  <c r="P42" i="75" a="1"/>
  <c r="P42" i="75" s="1"/>
  <c r="Q42" i="75" s="1"/>
  <c r="P43" i="75" a="1"/>
  <c r="P43" i="75" s="1"/>
  <c r="Q43" i="75" s="1"/>
  <c r="P44" i="75" a="1"/>
  <c r="P44" i="75" s="1"/>
  <c r="Q44" i="75" s="1"/>
  <c r="P45" i="75" a="1"/>
  <c r="P45" i="75" s="1"/>
  <c r="Q45" i="75" s="1"/>
  <c r="P46" i="75" a="1"/>
  <c r="P46" i="75" s="1"/>
  <c r="Q46" i="75" s="1"/>
  <c r="P47" i="75" a="1"/>
  <c r="P47" i="75" s="1"/>
  <c r="Q47" i="75" s="1"/>
  <c r="P48" i="75" a="1"/>
  <c r="P48" i="75" s="1"/>
  <c r="Q48" i="75" s="1"/>
  <c r="P49" i="75" a="1"/>
  <c r="P49" i="75" s="1"/>
  <c r="Q49" i="75" s="1"/>
  <c r="P50" i="75" a="1"/>
  <c r="P50" i="75" s="1"/>
  <c r="Q50" i="75" s="1"/>
  <c r="P51" i="75" a="1"/>
  <c r="P51" i="75" s="1"/>
  <c r="Q51" i="75" s="1"/>
  <c r="P52" i="75" a="1"/>
  <c r="P52" i="75" s="1"/>
  <c r="Q52" i="75" s="1"/>
  <c r="P53" i="75" a="1"/>
  <c r="P53" i="75" s="1"/>
  <c r="Q53" i="75" s="1"/>
  <c r="P54" i="75" a="1"/>
  <c r="P54" i="75" s="1"/>
  <c r="Q54" i="75" s="1"/>
  <c r="P55" i="75" a="1"/>
  <c r="P55" i="75" s="1"/>
  <c r="Q55" i="75" s="1"/>
  <c r="P56" i="75" a="1"/>
  <c r="P56" i="75" s="1"/>
  <c r="Q56" i="75" s="1"/>
  <c r="P57" i="75" a="1"/>
  <c r="P57" i="75" s="1"/>
  <c r="Q57" i="75" s="1"/>
  <c r="P21" i="75" a="1"/>
  <c r="P21" i="75" s="1"/>
  <c r="Q21" i="75" s="1"/>
  <c r="P22" i="75" a="1"/>
  <c r="P22" i="75" s="1"/>
  <c r="Q22" i="75" s="1"/>
  <c r="P23" i="75" a="1"/>
  <c r="P23" i="75" s="1"/>
  <c r="Q23" i="75" s="1"/>
  <c r="P24" i="75" a="1"/>
  <c r="P24" i="75" s="1"/>
  <c r="Q24" i="75" s="1"/>
  <c r="P25" i="75" a="1"/>
  <c r="P25" i="75" s="1"/>
  <c r="Q25" i="75" s="1"/>
  <c r="P26" i="75" a="1"/>
  <c r="P26" i="75" s="1"/>
  <c r="Q26" i="75" s="1"/>
  <c r="P27" i="75" a="1"/>
  <c r="P27" i="75" s="1"/>
  <c r="Q27" i="75" s="1"/>
  <c r="P28" i="75" a="1"/>
  <c r="P28" i="75" s="1"/>
  <c r="Q28" i="75" s="1"/>
  <c r="P29" i="75" a="1"/>
  <c r="P29" i="75" s="1"/>
  <c r="Q29" i="75" s="1"/>
  <c r="P30" i="75" a="1"/>
  <c r="P30" i="75" s="1"/>
  <c r="Q30" i="75" s="1"/>
  <c r="P31" i="75" a="1"/>
  <c r="P31" i="75" s="1"/>
  <c r="Q31" i="75" s="1"/>
  <c r="P32" i="75" a="1"/>
  <c r="P32" i="75" s="1"/>
  <c r="Q32" i="75" s="1"/>
  <c r="P9" i="75" a="1"/>
  <c r="P9" i="75" s="1"/>
  <c r="Q9" i="75" s="1"/>
  <c r="P10" i="75" a="1"/>
  <c r="P10" i="75" s="1"/>
  <c r="Q10" i="75" s="1"/>
  <c r="P11" i="75" a="1"/>
  <c r="P11" i="75"/>
  <c r="Q11" i="75" s="1"/>
  <c r="P12" i="75" a="1"/>
  <c r="P12" i="75" s="1"/>
  <c r="Q12" i="75" s="1"/>
  <c r="P13" i="75" a="1"/>
  <c r="P13" i="75" s="1"/>
  <c r="Q13" i="75" s="1"/>
  <c r="P14" i="75" a="1"/>
  <c r="P14" i="75" s="1"/>
  <c r="Q14" i="75" s="1"/>
  <c r="P15" i="75" a="1"/>
  <c r="P15" i="75" s="1"/>
  <c r="Q15" i="75" s="1"/>
  <c r="P16" i="75" a="1"/>
  <c r="P16" i="75" s="1"/>
  <c r="Q16" i="75" s="1"/>
  <c r="P17" i="75" a="1"/>
  <c r="P17" i="75" s="1"/>
  <c r="Q17" i="75" s="1"/>
  <c r="P18" i="75" a="1"/>
  <c r="P18" i="75" s="1"/>
  <c r="Q18" i="75" s="1"/>
  <c r="P19" i="75" a="1"/>
  <c r="P19" i="75" s="1"/>
  <c r="Q19" i="75" s="1"/>
  <c r="P20" i="75" a="1"/>
  <c r="P20" i="75" s="1"/>
  <c r="Q20" i="75" s="1"/>
  <c r="Q386" i="75"/>
  <c r="P3" i="75" a="1"/>
  <c r="P3" i="75" s="1"/>
  <c r="Q3" i="75" s="1"/>
  <c r="P4" i="75" a="1"/>
  <c r="P4" i="75" s="1"/>
  <c r="Q4" i="75" s="1"/>
  <c r="P5" i="75" a="1"/>
  <c r="P5" i="75" s="1"/>
  <c r="Q5" i="75" s="1"/>
  <c r="P6" i="75" a="1"/>
  <c r="P6" i="75" s="1"/>
  <c r="Q6" i="75" s="1"/>
  <c r="P7" i="75" a="1"/>
  <c r="P7" i="75" s="1"/>
  <c r="Q7" i="75" s="1"/>
  <c r="P8" i="75" a="1"/>
  <c r="P8" i="75" s="1"/>
  <c r="Q8" i="75" s="1"/>
  <c r="P2" i="75" a="1"/>
  <c r="P2" i="75" s="1"/>
  <c r="Q2" i="75" s="1"/>
  <c r="P11" i="88" l="1"/>
  <c r="Q11" i="88" s="1"/>
  <c r="R11" i="88" s="1"/>
  <c r="P9" i="88"/>
  <c r="Q9" i="88" s="1"/>
  <c r="R9" i="88" s="1"/>
  <c r="G26" i="97"/>
  <c r="T4" i="80"/>
  <c r="G23" i="97"/>
  <c r="T17" i="80"/>
  <c r="T26" i="80"/>
  <c r="G29" i="97"/>
  <c r="G25" i="97"/>
  <c r="T38" i="80"/>
  <c r="G28" i="97"/>
  <c r="T47" i="80"/>
  <c r="T37" i="80"/>
  <c r="G22" i="97"/>
  <c r="T3" i="80"/>
  <c r="G24" i="97"/>
  <c r="G21" i="97"/>
  <c r="T15" i="80"/>
  <c r="L7" i="88"/>
  <c r="O6" i="88"/>
  <c r="L8" i="88"/>
  <c r="J13" i="66"/>
  <c r="J13" i="96"/>
  <c r="J5" i="66"/>
  <c r="J5" i="96"/>
  <c r="P14" i="88"/>
  <c r="Q14" i="88" s="1"/>
  <c r="R14" i="88" s="1"/>
  <c r="P13" i="88"/>
  <c r="Q13" i="88" s="1"/>
  <c r="R13" i="88" s="1"/>
  <c r="P10" i="88"/>
  <c r="Q10" i="88" s="1"/>
  <c r="R10" i="88" s="1"/>
  <c r="P8" i="88"/>
  <c r="Q8" i="88" s="1"/>
  <c r="R8" i="88" s="1"/>
  <c r="P12" i="88"/>
  <c r="Q12" i="88" s="1"/>
  <c r="R12" i="88" s="1"/>
  <c r="P7" i="88"/>
  <c r="Q7" i="88" s="1"/>
  <c r="R7" i="88" s="1"/>
  <c r="P6" i="88"/>
  <c r="Q6" i="88" s="1"/>
  <c r="R6" i="88" s="1"/>
  <c r="O5" i="80"/>
  <c r="O26" i="80"/>
  <c r="E29" i="97" s="1"/>
  <c r="O75" i="82"/>
  <c r="O47" i="80"/>
  <c r="E28" i="97" s="1"/>
  <c r="O33" i="82"/>
  <c r="O55" i="82"/>
  <c r="O6" i="82"/>
  <c r="O47" i="82"/>
  <c r="O18" i="82"/>
  <c r="O16" i="80"/>
  <c r="O72" i="82"/>
  <c r="O10" i="80"/>
  <c r="O21" i="80"/>
  <c r="O17" i="80"/>
  <c r="E23" i="97" s="1"/>
  <c r="O53" i="82"/>
  <c r="O28" i="82"/>
  <c r="O24" i="80"/>
  <c r="O49" i="80"/>
  <c r="O37" i="80"/>
  <c r="E22" i="97" s="1"/>
  <c r="O69" i="80"/>
  <c r="O75" i="80"/>
  <c r="O68" i="80"/>
  <c r="O15" i="82"/>
  <c r="O10" i="82"/>
  <c r="S35" i="80"/>
  <c r="O46" i="82"/>
  <c r="O54" i="82"/>
  <c r="O26" i="82"/>
  <c r="R30" i="82"/>
  <c r="O32" i="82"/>
  <c r="O62" i="82"/>
  <c r="O13" i="82"/>
  <c r="R35" i="80"/>
  <c r="O13" i="80"/>
  <c r="O4" i="80"/>
  <c r="E26" i="97" s="1"/>
  <c r="O67" i="80"/>
  <c r="O16" i="82"/>
  <c r="P35" i="80"/>
  <c r="R5" i="80"/>
  <c r="O52" i="82"/>
  <c r="Q67" i="82"/>
  <c r="T67" i="82" s="1"/>
  <c r="O61" i="80"/>
  <c r="E27" i="97" s="1"/>
  <c r="O9" i="82"/>
  <c r="Q61" i="80"/>
  <c r="O43" i="82"/>
  <c r="O6" i="80"/>
  <c r="O35" i="82"/>
  <c r="O31" i="80"/>
  <c r="O67" i="82"/>
  <c r="O29" i="82"/>
  <c r="O39" i="82"/>
  <c r="O57" i="82"/>
  <c r="O56" i="82"/>
  <c r="Q2" i="80"/>
  <c r="O2" i="80"/>
  <c r="E20" i="97" s="1"/>
  <c r="O70" i="82"/>
  <c r="O3" i="80"/>
  <c r="E24" i="97" s="1"/>
  <c r="O46" i="80"/>
  <c r="O53" i="80"/>
  <c r="O64" i="82"/>
  <c r="Q64" i="82"/>
  <c r="T64" i="82" s="1"/>
  <c r="O76" i="82"/>
  <c r="O44" i="82"/>
  <c r="Q9" i="80"/>
  <c r="T9" i="80" s="1"/>
  <c r="O24" i="82"/>
  <c r="O25" i="80"/>
  <c r="O50" i="82"/>
  <c r="O20" i="80"/>
  <c r="Q66" i="80"/>
  <c r="T66" i="80" s="1"/>
  <c r="Q24" i="82"/>
  <c r="T24" i="82" s="1"/>
  <c r="Q71" i="82"/>
  <c r="T71" i="82" s="1"/>
  <c r="O66" i="80"/>
  <c r="O38" i="82"/>
  <c r="O30" i="82"/>
  <c r="Q20" i="80"/>
  <c r="T20" i="80" s="1"/>
  <c r="O9" i="80"/>
  <c r="O63" i="80"/>
  <c r="O59" i="80"/>
  <c r="Q40" i="82"/>
  <c r="T40" i="82" s="1"/>
  <c r="O29" i="80"/>
  <c r="O36" i="82"/>
  <c r="O63" i="82"/>
  <c r="Q39" i="80"/>
  <c r="T39" i="80" s="1"/>
  <c r="O68" i="82"/>
  <c r="O39" i="80"/>
  <c r="O71" i="82"/>
  <c r="Q37" i="82"/>
  <c r="T37" i="82" s="1"/>
  <c r="O40" i="82"/>
  <c r="O30" i="80"/>
  <c r="O37" i="82"/>
  <c r="O44" i="80"/>
  <c r="O49" i="82"/>
  <c r="Q58" i="80"/>
  <c r="T58" i="80" s="1"/>
  <c r="Q65" i="82"/>
  <c r="T65" i="82" s="1"/>
  <c r="Q61" i="82"/>
  <c r="T61" i="82" s="1"/>
  <c r="O58" i="80"/>
  <c r="O65" i="82"/>
  <c r="O8" i="82"/>
  <c r="O56" i="80"/>
  <c r="Q56" i="80"/>
  <c r="T56" i="80" s="1"/>
  <c r="O74" i="82"/>
  <c r="Q71" i="80"/>
  <c r="T71" i="80" s="1"/>
  <c r="O19" i="82"/>
  <c r="O8" i="80"/>
  <c r="O65" i="80"/>
  <c r="O73" i="82"/>
  <c r="Q14" i="82"/>
  <c r="T14" i="82" s="1"/>
  <c r="O31" i="82"/>
  <c r="O12" i="82"/>
  <c r="O61" i="82"/>
  <c r="O71" i="80"/>
  <c r="O48" i="82"/>
  <c r="Q12" i="82"/>
  <c r="T12" i="82" s="1"/>
  <c r="O55" i="80"/>
  <c r="O14" i="82"/>
  <c r="O20" i="82"/>
  <c r="O10" i="88"/>
  <c r="O9" i="88"/>
  <c r="L11" i="88"/>
  <c r="H10" i="88"/>
  <c r="O7" i="88"/>
  <c r="O14" i="88"/>
  <c r="O13" i="88"/>
  <c r="O12" i="88"/>
  <c r="O11" i="88"/>
  <c r="L9" i="88"/>
  <c r="L14" i="88"/>
  <c r="L13" i="88"/>
  <c r="L12" i="88"/>
  <c r="L10" i="88"/>
  <c r="H8" i="88"/>
  <c r="H14" i="88"/>
  <c r="H13" i="88"/>
  <c r="I7" i="88"/>
  <c r="H11" i="88"/>
  <c r="I11" i="88"/>
  <c r="H6" i="88"/>
  <c r="I9" i="88"/>
  <c r="H12" i="88"/>
  <c r="C74" i="36"/>
  <c r="C73" i="36"/>
  <c r="C75" i="35"/>
  <c r="C74" i="35"/>
  <c r="C80" i="34"/>
  <c r="C79" i="34"/>
  <c r="C71" i="27"/>
  <c r="C70" i="27"/>
  <c r="C76" i="28"/>
  <c r="C75" i="28"/>
  <c r="C74" i="41"/>
  <c r="C73" i="41"/>
  <c r="C69" i="21"/>
  <c r="C68" i="21"/>
  <c r="C72" i="30"/>
  <c r="C71" i="30"/>
  <c r="T61" i="80" l="1"/>
  <c r="G27" i="97"/>
  <c r="G20" i="97"/>
  <c r="T2" i="80"/>
  <c r="J21" i="66"/>
  <c r="J21" i="96"/>
  <c r="J8" i="96"/>
  <c r="D73" i="65" s="1"/>
  <c r="J7" i="96"/>
  <c r="E73" i="65" s="1"/>
  <c r="J9" i="96"/>
  <c r="F73" i="65" s="1"/>
  <c r="J6" i="96"/>
  <c r="C73" i="65" s="1"/>
  <c r="J6" i="66"/>
  <c r="C72" i="65" s="1"/>
  <c r="J8" i="66"/>
  <c r="D72" i="65" s="1"/>
  <c r="J9" i="66"/>
  <c r="F72" i="65" s="1"/>
  <c r="J7" i="66"/>
  <c r="E72" i="65" s="1"/>
  <c r="J16" i="96"/>
  <c r="D100" i="65" s="1"/>
  <c r="J17" i="96"/>
  <c r="F100" i="65" s="1"/>
  <c r="J14" i="96"/>
  <c r="C100" i="65" s="1"/>
  <c r="J15" i="96"/>
  <c r="E100" i="65" s="1"/>
  <c r="J14" i="66"/>
  <c r="C99" i="65" s="1"/>
  <c r="J17" i="66"/>
  <c r="F99" i="65" s="1"/>
  <c r="J15" i="66"/>
  <c r="E99" i="65" s="1"/>
  <c r="J16" i="66"/>
  <c r="D99" i="65" s="1"/>
  <c r="S30" i="82"/>
  <c r="P9" i="80"/>
  <c r="P30" i="82"/>
  <c r="S64" i="80"/>
  <c r="S46" i="80"/>
  <c r="P46" i="80"/>
  <c r="P64" i="82"/>
  <c r="P13" i="80"/>
  <c r="P17" i="82"/>
  <c r="P46" i="82"/>
  <c r="P21" i="82"/>
  <c r="R70" i="82"/>
  <c r="P70" i="82"/>
  <c r="R57" i="82"/>
  <c r="R20" i="82"/>
  <c r="P2" i="80"/>
  <c r="F20" i="97" s="1"/>
  <c r="S51" i="80"/>
  <c r="P39" i="80"/>
  <c r="P20" i="82"/>
  <c r="R36" i="82"/>
  <c r="S36" i="82"/>
  <c r="P15" i="82"/>
  <c r="P24" i="82"/>
  <c r="P24" i="80"/>
  <c r="P49" i="82"/>
  <c r="P4" i="82"/>
  <c r="P12" i="80"/>
  <c r="P28" i="80"/>
  <c r="P53" i="82"/>
  <c r="P5" i="80"/>
  <c r="P14" i="80"/>
  <c r="P34" i="82"/>
  <c r="P72" i="82"/>
  <c r="S5" i="80"/>
  <c r="P34" i="80"/>
  <c r="S14" i="80"/>
  <c r="R14" i="80"/>
  <c r="Q31" i="82"/>
  <c r="T31" i="82" s="1"/>
  <c r="H37" i="48"/>
  <c r="G91" i="18"/>
  <c r="C36" i="57"/>
  <c r="B1" i="73"/>
  <c r="J25" i="66" l="1"/>
  <c r="F126" i="65" s="1"/>
  <c r="J24" i="66"/>
  <c r="D126" i="65" s="1"/>
  <c r="J23" i="66"/>
  <c r="E126" i="65" s="1"/>
  <c r="J22" i="66"/>
  <c r="C126" i="65" s="1"/>
  <c r="J24" i="96"/>
  <c r="D127" i="65" s="1"/>
  <c r="J23" i="96"/>
  <c r="E127" i="65" s="1"/>
  <c r="J25" i="96"/>
  <c r="F127" i="65" s="1"/>
  <c r="J22" i="96"/>
  <c r="C127" i="65" s="1"/>
  <c r="R51" i="80"/>
  <c r="R64" i="80"/>
  <c r="P8" i="80"/>
  <c r="P60" i="82"/>
  <c r="R9" i="80"/>
  <c r="P14" i="82"/>
  <c r="P27" i="82"/>
  <c r="P36" i="82"/>
  <c r="P64" i="80"/>
  <c r="P54" i="80"/>
  <c r="S57" i="82"/>
  <c r="S17" i="82"/>
  <c r="P10" i="82"/>
  <c r="R46" i="80"/>
  <c r="P40" i="80"/>
  <c r="P49" i="80"/>
  <c r="P17" i="80"/>
  <c r="F23" i="97" s="1"/>
  <c r="P19" i="80"/>
  <c r="P3" i="80"/>
  <c r="F24" i="97" s="1"/>
  <c r="P68" i="80"/>
  <c r="P53" i="80"/>
  <c r="P58" i="82"/>
  <c r="P69" i="80"/>
  <c r="P41" i="82"/>
  <c r="P35" i="82"/>
  <c r="S20" i="82"/>
  <c r="R3" i="80"/>
  <c r="H24" i="97" s="1"/>
  <c r="S3" i="80"/>
  <c r="I24" i="97" s="1"/>
  <c r="P57" i="82"/>
  <c r="R39" i="80"/>
  <c r="S70" i="82"/>
  <c r="P4" i="80"/>
  <c r="F26" i="97" s="1"/>
  <c r="P74" i="82"/>
  <c r="P31" i="82"/>
  <c r="P50" i="82"/>
  <c r="R53" i="80"/>
  <c r="S53" i="80"/>
  <c r="P59" i="80"/>
  <c r="P16" i="82"/>
  <c r="P26" i="80"/>
  <c r="F29" i="97" s="1"/>
  <c r="P33" i="82"/>
  <c r="P52" i="80"/>
  <c r="P30" i="80"/>
  <c r="P26" i="82"/>
  <c r="R50" i="82"/>
  <c r="S50" i="82"/>
  <c r="R31" i="82"/>
  <c r="S31" i="82"/>
  <c r="P9" i="82"/>
  <c r="P25" i="82"/>
  <c r="P18" i="82"/>
  <c r="P62" i="80"/>
  <c r="P47" i="80"/>
  <c r="F28" i="97" s="1"/>
  <c r="P31" i="80"/>
  <c r="P51" i="80"/>
  <c r="P23" i="80"/>
  <c r="P22" i="82"/>
  <c r="P40" i="82"/>
  <c r="P37" i="82"/>
  <c r="P23" i="82"/>
  <c r="P6" i="80"/>
  <c r="P10" i="80"/>
  <c r="P43" i="82"/>
  <c r="P38" i="82"/>
  <c r="P27" i="80"/>
  <c r="P38" i="80"/>
  <c r="F25" i="97" s="1"/>
  <c r="P33" i="80"/>
  <c r="S10" i="82"/>
  <c r="R10" i="82"/>
  <c r="P73" i="80"/>
  <c r="P71" i="82"/>
  <c r="P29" i="82"/>
  <c r="P11" i="82"/>
  <c r="P76" i="80"/>
  <c r="P52" i="82"/>
  <c r="P7" i="82"/>
  <c r="P69" i="82"/>
  <c r="P59" i="82"/>
  <c r="S13" i="80"/>
  <c r="R13" i="80"/>
  <c r="P51" i="82"/>
  <c r="P20" i="80"/>
  <c r="P72" i="80"/>
  <c r="P76" i="82"/>
  <c r="P15" i="80"/>
  <c r="F21" i="97" s="1"/>
  <c r="P32" i="80"/>
  <c r="P7" i="80"/>
  <c r="P37" i="80"/>
  <c r="F22" i="97" s="1"/>
  <c r="R15" i="82"/>
  <c r="S15" i="82"/>
  <c r="P8" i="82"/>
  <c r="P25" i="80"/>
  <c r="P55" i="82"/>
  <c r="P66" i="80"/>
  <c r="P5" i="82"/>
  <c r="P57" i="80"/>
  <c r="P61" i="80"/>
  <c r="F27" i="97" s="1"/>
  <c r="P60" i="80"/>
  <c r="P54" i="82"/>
  <c r="P41" i="80"/>
  <c r="P6" i="82"/>
  <c r="P45" i="80"/>
  <c r="P12" i="82"/>
  <c r="P2" i="82"/>
  <c r="R60" i="82"/>
  <c r="S60" i="82"/>
  <c r="P39" i="82"/>
  <c r="P55" i="80"/>
  <c r="P67" i="82"/>
  <c r="P67" i="80"/>
  <c r="P48" i="82"/>
  <c r="P73" i="82"/>
  <c r="P42" i="80"/>
  <c r="P71" i="80"/>
  <c r="P70" i="80"/>
  <c r="R17" i="82"/>
  <c r="P44" i="82"/>
  <c r="R24" i="82"/>
  <c r="S24" i="82"/>
  <c r="P29" i="80"/>
  <c r="R54" i="80"/>
  <c r="S54" i="80"/>
  <c r="P42" i="82"/>
  <c r="P63" i="82"/>
  <c r="P18" i="80"/>
  <c r="R2" i="80"/>
  <c r="H20" i="97" s="1"/>
  <c r="S2" i="80"/>
  <c r="I20" i="97" s="1"/>
  <c r="P43" i="80"/>
  <c r="P61" i="82"/>
  <c r="S40" i="80"/>
  <c r="R40" i="80"/>
  <c r="P16" i="80"/>
  <c r="P50" i="80"/>
  <c r="P65" i="80"/>
  <c r="P65" i="82"/>
  <c r="P68" i="82"/>
  <c r="P48" i="80"/>
  <c r="P58" i="80"/>
  <c r="P13" i="82"/>
  <c r="P3" i="82"/>
  <c r="P36" i="80"/>
  <c r="P47" i="82"/>
  <c r="P11" i="80"/>
  <c r="S53" i="82"/>
  <c r="R53" i="82"/>
  <c r="R28" i="80"/>
  <c r="S28" i="80"/>
  <c r="R8" i="80"/>
  <c r="S8" i="80"/>
  <c r="R17" i="80"/>
  <c r="H23" i="97" s="1"/>
  <c r="S17" i="80"/>
  <c r="I23" i="97" s="1"/>
  <c r="P44" i="80"/>
  <c r="R24" i="80"/>
  <c r="S24" i="80"/>
  <c r="R64" i="82"/>
  <c r="S64" i="82"/>
  <c r="P19" i="82"/>
  <c r="P63" i="80"/>
  <c r="P62" i="82"/>
  <c r="P56" i="82"/>
  <c r="P74" i="80"/>
  <c r="R72" i="82"/>
  <c r="S72" i="82"/>
  <c r="R14" i="82"/>
  <c r="S14" i="82"/>
  <c r="R74" i="82"/>
  <c r="S74" i="82"/>
  <c r="P32" i="82"/>
  <c r="R12" i="82"/>
  <c r="S12" i="82"/>
  <c r="R34" i="82"/>
  <c r="S34" i="82"/>
  <c r="R12" i="80"/>
  <c r="S12" i="80"/>
  <c r="P28" i="82"/>
  <c r="P21" i="80"/>
  <c r="R4" i="82"/>
  <c r="S4" i="82"/>
  <c r="P75" i="80"/>
  <c r="P56" i="80"/>
  <c r="P66" i="82"/>
  <c r="P75" i="82"/>
  <c r="S39" i="80"/>
  <c r="R49" i="82"/>
  <c r="S49" i="82"/>
  <c r="R21" i="82"/>
  <c r="S21" i="82"/>
  <c r="S49" i="80"/>
  <c r="R49" i="80"/>
  <c r="R34" i="80"/>
  <c r="S34" i="80"/>
  <c r="S46" i="82"/>
  <c r="R46" i="82"/>
  <c r="S9" i="80" l="1"/>
  <c r="S27" i="82"/>
  <c r="R27" i="82"/>
  <c r="R19" i="80"/>
  <c r="S19" i="80"/>
  <c r="R35" i="82"/>
  <c r="S35" i="82"/>
  <c r="S41" i="82"/>
  <c r="R41" i="82"/>
  <c r="S69" i="80"/>
  <c r="R69" i="80"/>
  <c r="R58" i="82"/>
  <c r="S58" i="82"/>
  <c r="R68" i="80"/>
  <c r="S68" i="80"/>
  <c r="R4" i="80"/>
  <c r="H26" i="97" s="1"/>
  <c r="S4" i="80"/>
  <c r="I26" i="97" s="1"/>
  <c r="S52" i="80"/>
  <c r="R52" i="80"/>
  <c r="S33" i="82"/>
  <c r="R33" i="82"/>
  <c r="S26" i="80"/>
  <c r="I29" i="97" s="1"/>
  <c r="R26" i="80"/>
  <c r="H29" i="97" s="1"/>
  <c r="R16" i="82"/>
  <c r="S16" i="82"/>
  <c r="R59" i="80"/>
  <c r="S59" i="80"/>
  <c r="R26" i="82"/>
  <c r="S26" i="82"/>
  <c r="S30" i="80"/>
  <c r="R30" i="80"/>
  <c r="R38" i="82"/>
  <c r="S38" i="82"/>
  <c r="R23" i="80"/>
  <c r="S23" i="80"/>
  <c r="S43" i="82"/>
  <c r="R43" i="82"/>
  <c r="R31" i="80"/>
  <c r="S31" i="80"/>
  <c r="R71" i="82"/>
  <c r="S71" i="82"/>
  <c r="R10" i="80"/>
  <c r="S10" i="80"/>
  <c r="R47" i="80"/>
  <c r="H28" i="97" s="1"/>
  <c r="S47" i="80"/>
  <c r="I28" i="97" s="1"/>
  <c r="S73" i="80"/>
  <c r="R73" i="80"/>
  <c r="R6" i="80"/>
  <c r="S6" i="80"/>
  <c r="S62" i="80"/>
  <c r="R62" i="80"/>
  <c r="R23" i="82"/>
  <c r="S23" i="82"/>
  <c r="R18" i="82"/>
  <c r="S18" i="82"/>
  <c r="R33" i="80"/>
  <c r="S33" i="80"/>
  <c r="R37" i="82"/>
  <c r="S37" i="82"/>
  <c r="S25" i="82"/>
  <c r="R25" i="82"/>
  <c r="R38" i="80"/>
  <c r="H25" i="97" s="1"/>
  <c r="S38" i="80"/>
  <c r="I25" i="97" s="1"/>
  <c r="R40" i="82"/>
  <c r="S40" i="82"/>
  <c r="R9" i="82"/>
  <c r="S9" i="82"/>
  <c r="S27" i="80"/>
  <c r="R27" i="80"/>
  <c r="R22" i="82"/>
  <c r="S22" i="82"/>
  <c r="R57" i="80"/>
  <c r="S57" i="80"/>
  <c r="S7" i="80"/>
  <c r="R7" i="80"/>
  <c r="R2" i="82"/>
  <c r="S2" i="82"/>
  <c r="S59" i="82"/>
  <c r="R59" i="82"/>
  <c r="R5" i="82"/>
  <c r="S5" i="82"/>
  <c r="S32" i="80"/>
  <c r="R32" i="80"/>
  <c r="R45" i="80"/>
  <c r="S45" i="80"/>
  <c r="R66" i="80"/>
  <c r="S66" i="80"/>
  <c r="R15" i="80"/>
  <c r="H21" i="97" s="1"/>
  <c r="S15" i="80"/>
  <c r="I21" i="97" s="1"/>
  <c r="R69" i="82"/>
  <c r="S69" i="82"/>
  <c r="R6" i="82"/>
  <c r="S6" i="82"/>
  <c r="R55" i="82"/>
  <c r="S55" i="82"/>
  <c r="S7" i="82"/>
  <c r="R7" i="82"/>
  <c r="R67" i="80"/>
  <c r="S67" i="80"/>
  <c r="S41" i="80"/>
  <c r="R41" i="80"/>
  <c r="R25" i="80"/>
  <c r="S25" i="80"/>
  <c r="R76" i="82"/>
  <c r="S76" i="82"/>
  <c r="R52" i="82"/>
  <c r="S52" i="82"/>
  <c r="R67" i="82"/>
  <c r="S67" i="82"/>
  <c r="R54" i="82"/>
  <c r="S54" i="82"/>
  <c r="R8" i="82"/>
  <c r="S8" i="82"/>
  <c r="R72" i="80"/>
  <c r="S72" i="80"/>
  <c r="R76" i="80"/>
  <c r="S76" i="80"/>
  <c r="R55" i="80"/>
  <c r="S55" i="80"/>
  <c r="S60" i="80"/>
  <c r="R60" i="80"/>
  <c r="R20" i="80"/>
  <c r="S20" i="80"/>
  <c r="R11" i="82"/>
  <c r="S11" i="82"/>
  <c r="R39" i="82"/>
  <c r="S39" i="82"/>
  <c r="R61" i="80"/>
  <c r="H27" i="97" s="1"/>
  <c r="S61" i="80"/>
  <c r="I27" i="97" s="1"/>
  <c r="R37" i="80"/>
  <c r="H22" i="97" s="1"/>
  <c r="S37" i="80"/>
  <c r="I22" i="97" s="1"/>
  <c r="R51" i="82"/>
  <c r="S51" i="82"/>
  <c r="R29" i="82"/>
  <c r="S29" i="82"/>
  <c r="R58" i="80"/>
  <c r="S58" i="80"/>
  <c r="R61" i="82"/>
  <c r="S61" i="82"/>
  <c r="R48" i="80"/>
  <c r="S48" i="80"/>
  <c r="S43" i="80"/>
  <c r="R43" i="80"/>
  <c r="R44" i="82"/>
  <c r="S44" i="82"/>
  <c r="S68" i="82"/>
  <c r="R68" i="82"/>
  <c r="R65" i="82"/>
  <c r="S65" i="82"/>
  <c r="S18" i="80"/>
  <c r="R18" i="80"/>
  <c r="R70" i="80"/>
  <c r="S70" i="80"/>
  <c r="S47" i="82"/>
  <c r="R47" i="82"/>
  <c r="R65" i="80"/>
  <c r="S65" i="80"/>
  <c r="R63" i="82"/>
  <c r="S63" i="82"/>
  <c r="R71" i="80"/>
  <c r="S71" i="80"/>
  <c r="R36" i="80"/>
  <c r="S36" i="80"/>
  <c r="S50" i="80"/>
  <c r="R50" i="80"/>
  <c r="R42" i="82"/>
  <c r="S42" i="82"/>
  <c r="S42" i="80"/>
  <c r="R42" i="80"/>
  <c r="R73" i="82"/>
  <c r="S73" i="82"/>
  <c r="R3" i="82"/>
  <c r="S3" i="82"/>
  <c r="R16" i="80"/>
  <c r="S16" i="80"/>
  <c r="R13" i="82"/>
  <c r="S13" i="82"/>
  <c r="R29" i="80"/>
  <c r="S29" i="80"/>
  <c r="R48" i="82"/>
  <c r="S48" i="82"/>
  <c r="S75" i="80"/>
  <c r="R75" i="80"/>
  <c r="R21" i="80"/>
  <c r="S21" i="80"/>
  <c r="R44" i="80"/>
  <c r="S44" i="80"/>
  <c r="R28" i="82"/>
  <c r="S28" i="82"/>
  <c r="S74" i="80"/>
  <c r="R74" i="80"/>
  <c r="R75" i="82"/>
  <c r="S75" i="82"/>
  <c r="R56" i="80"/>
  <c r="S56" i="80"/>
  <c r="R19" i="82"/>
  <c r="S19" i="82"/>
  <c r="R56" i="82"/>
  <c r="S56" i="82"/>
  <c r="S32" i="82"/>
  <c r="R32" i="82"/>
  <c r="S11" i="80"/>
  <c r="R11" i="80"/>
  <c r="R62" i="82"/>
  <c r="S62" i="82"/>
  <c r="R66" i="82"/>
  <c r="S66" i="82"/>
  <c r="R63" i="80"/>
  <c r="S63" i="80"/>
  <c r="H59" i="66"/>
  <c r="J59" i="66" s="1"/>
  <c r="G59" i="66"/>
  <c r="F59" i="66"/>
  <c r="E59" i="66"/>
  <c r="D59" i="66"/>
  <c r="C59" i="66"/>
  <c r="H49" i="66"/>
  <c r="D53" i="66" s="1"/>
  <c r="G49" i="66"/>
  <c r="F49" i="66"/>
  <c r="E49" i="66"/>
  <c r="D49" i="66"/>
  <c r="C49" i="66"/>
  <c r="I33" i="66"/>
  <c r="C33" i="66" s="1"/>
  <c r="H33" i="66"/>
  <c r="C32" i="66" s="1"/>
  <c r="D55" i="66" s="1"/>
  <c r="C30" i="66"/>
  <c r="L19" i="97" l="1"/>
  <c r="L20" i="97" s="1"/>
  <c r="L22" i="97" s="1"/>
  <c r="L23" i="97" s="1"/>
  <c r="E7" i="88" s="1"/>
  <c r="N13" i="21" s="1"/>
  <c r="D54" i="66"/>
  <c r="C44" i="65"/>
  <c r="C36" i="66"/>
  <c r="C89" i="66" s="1"/>
  <c r="J60" i="66"/>
  <c r="N13" i="64" l="1"/>
  <c r="N17" i="64" s="1"/>
  <c r="F152" i="65" s="1"/>
  <c r="N17" i="21"/>
  <c r="F145" i="65" s="1"/>
  <c r="N15" i="21"/>
  <c r="E145" i="65" s="1"/>
  <c r="N14" i="21"/>
  <c r="C145" i="65" s="1"/>
  <c r="N16" i="21"/>
  <c r="D145" i="65" s="1"/>
  <c r="D44" i="65"/>
  <c r="C70" i="39"/>
  <c r="C69" i="39"/>
  <c r="B1" i="65"/>
  <c r="H65" i="64"/>
  <c r="G65" i="64"/>
  <c r="F65" i="64"/>
  <c r="E65" i="64"/>
  <c r="D65" i="64"/>
  <c r="C65" i="64"/>
  <c r="H51" i="64"/>
  <c r="G51" i="64"/>
  <c r="F51" i="64"/>
  <c r="E51" i="64"/>
  <c r="D51" i="64"/>
  <c r="C51" i="64"/>
  <c r="H50" i="64"/>
  <c r="D56" i="64" s="1"/>
  <c r="G50" i="64"/>
  <c r="F50" i="64"/>
  <c r="E50" i="64"/>
  <c r="D50" i="64"/>
  <c r="C50" i="64"/>
  <c r="H49" i="64"/>
  <c r="D55" i="64" s="1"/>
  <c r="G49" i="64"/>
  <c r="F49" i="64"/>
  <c r="E49" i="64"/>
  <c r="D49" i="64"/>
  <c r="C49" i="64"/>
  <c r="H64" i="64"/>
  <c r="G64" i="64"/>
  <c r="F64" i="64"/>
  <c r="E64" i="64"/>
  <c r="D64" i="64"/>
  <c r="C64" i="64"/>
  <c r="H63" i="64"/>
  <c r="J63" i="64" s="1"/>
  <c r="G63" i="64"/>
  <c r="F63" i="64"/>
  <c r="E63" i="64"/>
  <c r="D63" i="64"/>
  <c r="C63" i="64"/>
  <c r="C32" i="64"/>
  <c r="C30" i="64"/>
  <c r="H49" i="63"/>
  <c r="G49" i="63"/>
  <c r="F49" i="63"/>
  <c r="D53" i="63" s="1"/>
  <c r="E49" i="63"/>
  <c r="D49" i="63"/>
  <c r="C49" i="63"/>
  <c r="H59" i="63"/>
  <c r="G59" i="63"/>
  <c r="F59" i="63"/>
  <c r="J59" i="63" s="1"/>
  <c r="E59" i="63"/>
  <c r="D59" i="63"/>
  <c r="C59" i="63"/>
  <c r="C30" i="63"/>
  <c r="G39" i="14"/>
  <c r="H39" i="14"/>
  <c r="I39" i="14"/>
  <c r="J39" i="14"/>
  <c r="K39" i="14"/>
  <c r="L39" i="14"/>
  <c r="M39" i="14"/>
  <c r="N39" i="14"/>
  <c r="O39" i="14"/>
  <c r="P39" i="14"/>
  <c r="F39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B37" i="14"/>
  <c r="H63" i="50"/>
  <c r="H64" i="50" s="1"/>
  <c r="J64" i="50" s="1"/>
  <c r="G63" i="50"/>
  <c r="G64" i="50" s="1"/>
  <c r="F63" i="50"/>
  <c r="F64" i="50" s="1"/>
  <c r="E63" i="50"/>
  <c r="E64" i="50" s="1"/>
  <c r="D63" i="50"/>
  <c r="C63" i="50"/>
  <c r="H62" i="50"/>
  <c r="J62" i="50" s="1"/>
  <c r="G62" i="50"/>
  <c r="F62" i="50"/>
  <c r="E62" i="50"/>
  <c r="D62" i="50"/>
  <c r="C62" i="50"/>
  <c r="C63" i="46"/>
  <c r="H63" i="46"/>
  <c r="J63" i="46" s="1"/>
  <c r="G63" i="46"/>
  <c r="G64" i="46" s="1"/>
  <c r="F63" i="46"/>
  <c r="F64" i="46" s="1"/>
  <c r="E63" i="46"/>
  <c r="E64" i="46" s="1"/>
  <c r="D63" i="46"/>
  <c r="H62" i="46"/>
  <c r="J62" i="46" s="1"/>
  <c r="G62" i="46"/>
  <c r="F62" i="46"/>
  <c r="E62" i="46"/>
  <c r="D62" i="46"/>
  <c r="C62" i="46"/>
  <c r="H63" i="53"/>
  <c r="G63" i="53"/>
  <c r="F63" i="53"/>
  <c r="E63" i="53"/>
  <c r="D63" i="53"/>
  <c r="C63" i="53"/>
  <c r="H62" i="53"/>
  <c r="J62" i="53" s="1"/>
  <c r="G62" i="53"/>
  <c r="F62" i="53"/>
  <c r="E62" i="53"/>
  <c r="D62" i="53"/>
  <c r="C62" i="53"/>
  <c r="C63" i="57"/>
  <c r="D63" i="57"/>
  <c r="D64" i="57" s="1"/>
  <c r="E63" i="57"/>
  <c r="F63" i="57"/>
  <c r="G63" i="57"/>
  <c r="H63" i="57"/>
  <c r="J63" i="57" s="1"/>
  <c r="H62" i="57"/>
  <c r="J62" i="57" s="1"/>
  <c r="G62" i="57"/>
  <c r="F62" i="57"/>
  <c r="E62" i="57"/>
  <c r="D62" i="57"/>
  <c r="C62" i="57"/>
  <c r="H67" i="36"/>
  <c r="J67" i="36" s="1"/>
  <c r="G67" i="36"/>
  <c r="F67" i="36"/>
  <c r="E67" i="36"/>
  <c r="D67" i="36"/>
  <c r="C67" i="36"/>
  <c r="H66" i="36"/>
  <c r="J66" i="36" s="1"/>
  <c r="G66" i="36"/>
  <c r="F66" i="36"/>
  <c r="E66" i="36"/>
  <c r="D66" i="36"/>
  <c r="C66" i="36"/>
  <c r="H65" i="36"/>
  <c r="J65" i="36" s="1"/>
  <c r="G65" i="36"/>
  <c r="F65" i="36"/>
  <c r="E65" i="36"/>
  <c r="D65" i="36"/>
  <c r="C65" i="36"/>
  <c r="H63" i="39"/>
  <c r="J63" i="39" s="1"/>
  <c r="G63" i="39"/>
  <c r="F63" i="39"/>
  <c r="E63" i="39"/>
  <c r="D63" i="39"/>
  <c r="C63" i="39"/>
  <c r="H62" i="39"/>
  <c r="J62" i="39" s="1"/>
  <c r="G62" i="39"/>
  <c r="F62" i="39"/>
  <c r="E62" i="39"/>
  <c r="D62" i="39"/>
  <c r="C62" i="39"/>
  <c r="H68" i="35"/>
  <c r="H69" i="35" s="1"/>
  <c r="G68" i="35"/>
  <c r="G69" i="35" s="1"/>
  <c r="F68" i="35"/>
  <c r="F69" i="35" s="1"/>
  <c r="E68" i="35"/>
  <c r="E69" i="35" s="1"/>
  <c r="D68" i="35"/>
  <c r="D69" i="35" s="1"/>
  <c r="C68" i="35"/>
  <c r="C69" i="35" s="1"/>
  <c r="H67" i="35"/>
  <c r="J67" i="35" s="1"/>
  <c r="G67" i="35"/>
  <c r="F67" i="35"/>
  <c r="E67" i="35"/>
  <c r="D67" i="35"/>
  <c r="C67" i="35"/>
  <c r="H73" i="34"/>
  <c r="G73" i="34"/>
  <c r="F73" i="34"/>
  <c r="E73" i="34"/>
  <c r="D73" i="34"/>
  <c r="C73" i="34"/>
  <c r="H72" i="34"/>
  <c r="J72" i="34" s="1"/>
  <c r="G72" i="34"/>
  <c r="F72" i="34"/>
  <c r="E72" i="34"/>
  <c r="D72" i="34"/>
  <c r="C72" i="34"/>
  <c r="H68" i="28"/>
  <c r="J68" i="28" s="1"/>
  <c r="G68" i="28"/>
  <c r="F68" i="28"/>
  <c r="E68" i="28"/>
  <c r="D68" i="28"/>
  <c r="C68" i="28"/>
  <c r="H65" i="30"/>
  <c r="J65" i="30" s="1"/>
  <c r="G65" i="30"/>
  <c r="F65" i="30"/>
  <c r="E65" i="30"/>
  <c r="D65" i="30"/>
  <c r="H66" i="30"/>
  <c r="J66" i="30" s="1"/>
  <c r="G66" i="30"/>
  <c r="F66" i="30"/>
  <c r="E66" i="30"/>
  <c r="D66" i="30"/>
  <c r="C66" i="30"/>
  <c r="C65" i="30"/>
  <c r="H64" i="30"/>
  <c r="G64" i="30"/>
  <c r="F64" i="30"/>
  <c r="E64" i="30"/>
  <c r="D64" i="30"/>
  <c r="C64" i="30"/>
  <c r="H62" i="21"/>
  <c r="J62" i="21" s="1"/>
  <c r="G62" i="21"/>
  <c r="F62" i="21"/>
  <c r="E62" i="21"/>
  <c r="D62" i="21"/>
  <c r="C62" i="21"/>
  <c r="H61" i="21"/>
  <c r="G61" i="21"/>
  <c r="F61" i="21"/>
  <c r="E61" i="21"/>
  <c r="D61" i="21"/>
  <c r="C61" i="21"/>
  <c r="H66" i="41"/>
  <c r="H67" i="41" s="1"/>
  <c r="G66" i="41"/>
  <c r="G67" i="41" s="1"/>
  <c r="F66" i="41"/>
  <c r="F67" i="41" s="1"/>
  <c r="E66" i="41"/>
  <c r="E67" i="41" s="1"/>
  <c r="D66" i="41"/>
  <c r="D67" i="41" s="1"/>
  <c r="C66" i="41"/>
  <c r="C67" i="41" s="1"/>
  <c r="D54" i="28"/>
  <c r="E54" i="28"/>
  <c r="F54" i="28"/>
  <c r="G54" i="28"/>
  <c r="H54" i="28"/>
  <c r="C54" i="28"/>
  <c r="H69" i="28"/>
  <c r="G69" i="28"/>
  <c r="F69" i="28"/>
  <c r="E69" i="28"/>
  <c r="D69" i="28"/>
  <c r="C69" i="28"/>
  <c r="H67" i="28"/>
  <c r="G67" i="28"/>
  <c r="F67" i="28"/>
  <c r="E67" i="28"/>
  <c r="D67" i="28"/>
  <c r="C67" i="28"/>
  <c r="C32" i="39"/>
  <c r="H51" i="39" s="1"/>
  <c r="C50" i="39"/>
  <c r="J9" i="61"/>
  <c r="J11" i="61"/>
  <c r="J13" i="61"/>
  <c r="J15" i="61"/>
  <c r="J17" i="61"/>
  <c r="J19" i="61"/>
  <c r="J7" i="61"/>
  <c r="J21" i="61" s="1"/>
  <c r="J5" i="61" s="1"/>
  <c r="G21" i="61"/>
  <c r="I6" i="61" s="1"/>
  <c r="G4" i="61"/>
  <c r="C37" i="36"/>
  <c r="C94" i="36" s="1"/>
  <c r="C36" i="41"/>
  <c r="C94" i="41" s="1"/>
  <c r="C32" i="53"/>
  <c r="G51" i="53" s="1"/>
  <c r="C32" i="57"/>
  <c r="G51" i="57" s="1"/>
  <c r="D55" i="57"/>
  <c r="C30" i="57"/>
  <c r="J13" i="54"/>
  <c r="I13" i="54"/>
  <c r="H13" i="54"/>
  <c r="G13" i="54"/>
  <c r="F13" i="54"/>
  <c r="E13" i="54"/>
  <c r="I11" i="54"/>
  <c r="H11" i="54"/>
  <c r="G11" i="54"/>
  <c r="F11" i="54"/>
  <c r="E11" i="54"/>
  <c r="D11" i="54"/>
  <c r="C11" i="54"/>
  <c r="B11" i="54"/>
  <c r="J11" i="54" s="1"/>
  <c r="D55" i="53"/>
  <c r="C30" i="53"/>
  <c r="D51" i="50"/>
  <c r="E51" i="50"/>
  <c r="F51" i="50"/>
  <c r="G51" i="50"/>
  <c r="H51" i="50"/>
  <c r="D56" i="50" s="1"/>
  <c r="C51" i="50"/>
  <c r="J14" i="51"/>
  <c r="C14" i="51"/>
  <c r="D14" i="51"/>
  <c r="E14" i="51"/>
  <c r="F14" i="51"/>
  <c r="G14" i="51"/>
  <c r="H14" i="51"/>
  <c r="I14" i="51"/>
  <c r="B14" i="51"/>
  <c r="C13" i="51"/>
  <c r="D13" i="51"/>
  <c r="E13" i="51"/>
  <c r="F13" i="51"/>
  <c r="G13" i="51"/>
  <c r="H13" i="51"/>
  <c r="I13" i="51"/>
  <c r="B13" i="51"/>
  <c r="D55" i="50"/>
  <c r="C30" i="50"/>
  <c r="C50" i="46"/>
  <c r="E51" i="46"/>
  <c r="F51" i="46"/>
  <c r="G51" i="46"/>
  <c r="H51" i="46"/>
  <c r="J6" i="47"/>
  <c r="K6" i="47"/>
  <c r="L6" i="47"/>
  <c r="D6" i="47"/>
  <c r="E6" i="47"/>
  <c r="F6" i="47"/>
  <c r="G6" i="47"/>
  <c r="H6" i="47"/>
  <c r="I6" i="47"/>
  <c r="K9" i="47"/>
  <c r="C30" i="46"/>
  <c r="C64" i="27"/>
  <c r="D64" i="27"/>
  <c r="E64" i="27"/>
  <c r="F64" i="27"/>
  <c r="G64" i="27"/>
  <c r="H64" i="27"/>
  <c r="J64" i="27" s="1"/>
  <c r="H63" i="27"/>
  <c r="G63" i="27"/>
  <c r="F63" i="27"/>
  <c r="E63" i="27"/>
  <c r="D63" i="27"/>
  <c r="C63" i="27"/>
  <c r="N14" i="64" l="1"/>
  <c r="C152" i="65" s="1"/>
  <c r="N16" i="64"/>
  <c r="D152" i="65" s="1"/>
  <c r="N15" i="64"/>
  <c r="E152" i="65" s="1"/>
  <c r="P41" i="14"/>
  <c r="P42" i="14" s="1"/>
  <c r="P44" i="14"/>
  <c r="P45" i="14" s="1"/>
  <c r="E64" i="57"/>
  <c r="C64" i="57"/>
  <c r="G68" i="36"/>
  <c r="D68" i="36"/>
  <c r="E68" i="36"/>
  <c r="C68" i="36"/>
  <c r="F68" i="36"/>
  <c r="F64" i="53"/>
  <c r="G64" i="53"/>
  <c r="H64" i="57"/>
  <c r="J64" i="57" s="1"/>
  <c r="F64" i="57"/>
  <c r="G64" i="57"/>
  <c r="H68" i="36"/>
  <c r="J68" i="36" s="1"/>
  <c r="J68" i="35"/>
  <c r="C64" i="53"/>
  <c r="D64" i="53"/>
  <c r="E64" i="53"/>
  <c r="H64" i="53"/>
  <c r="J64" i="53" s="1"/>
  <c r="J65" i="64"/>
  <c r="H64" i="39"/>
  <c r="J64" i="39" s="1"/>
  <c r="J64" i="64"/>
  <c r="D57" i="64"/>
  <c r="J63" i="50"/>
  <c r="H64" i="46"/>
  <c r="J64" i="46" s="1"/>
  <c r="J63" i="53"/>
  <c r="G51" i="39"/>
  <c r="F51" i="39"/>
  <c r="J69" i="35"/>
  <c r="C75" i="34"/>
  <c r="D75" i="34"/>
  <c r="C70" i="28"/>
  <c r="D70" i="28"/>
  <c r="J67" i="30"/>
  <c r="J63" i="21"/>
  <c r="C68" i="41"/>
  <c r="D68" i="41"/>
  <c r="E68" i="41"/>
  <c r="F68" i="41"/>
  <c r="G68" i="41"/>
  <c r="H68" i="41"/>
  <c r="J67" i="41"/>
  <c r="J68" i="41" s="1"/>
  <c r="E70" i="28"/>
  <c r="F70" i="28"/>
  <c r="G70" i="28"/>
  <c r="H70" i="28"/>
  <c r="J69" i="28"/>
  <c r="J70" i="28" s="1"/>
  <c r="D51" i="39"/>
  <c r="E51" i="39"/>
  <c r="C51" i="39"/>
  <c r="H51" i="53"/>
  <c r="D56" i="53" s="1"/>
  <c r="D51" i="57"/>
  <c r="E51" i="57"/>
  <c r="F51" i="57"/>
  <c r="H65" i="27"/>
  <c r="F65" i="27"/>
  <c r="D51" i="53"/>
  <c r="C51" i="53"/>
  <c r="F51" i="53"/>
  <c r="E65" i="27"/>
  <c r="G65" i="27"/>
  <c r="D65" i="27"/>
  <c r="C65" i="27"/>
  <c r="E51" i="53"/>
  <c r="C51" i="57"/>
  <c r="H51" i="57"/>
  <c r="D56" i="57" s="1"/>
  <c r="D57" i="50"/>
  <c r="C51" i="46"/>
  <c r="D55" i="41"/>
  <c r="E55" i="41"/>
  <c r="F55" i="41"/>
  <c r="G55" i="41"/>
  <c r="H55" i="41"/>
  <c r="D60" i="41" s="1"/>
  <c r="C55" i="41"/>
  <c r="D59" i="41"/>
  <c r="C30" i="41"/>
  <c r="C30" i="39"/>
  <c r="H53" i="36"/>
  <c r="D59" i="36" s="1"/>
  <c r="G53" i="36"/>
  <c r="F53" i="36"/>
  <c r="E53" i="36"/>
  <c r="D53" i="36"/>
  <c r="C53" i="36"/>
  <c r="H56" i="35"/>
  <c r="D61" i="35" s="1"/>
  <c r="G56" i="35"/>
  <c r="F56" i="35"/>
  <c r="E56" i="35"/>
  <c r="D56" i="35"/>
  <c r="C56" i="35"/>
  <c r="D58" i="36"/>
  <c r="D60" i="35"/>
  <c r="C30" i="36"/>
  <c r="C30" i="35"/>
  <c r="D60" i="34"/>
  <c r="D61" i="34" s="1"/>
  <c r="C60" i="34"/>
  <c r="C61" i="34" s="1"/>
  <c r="C30" i="34"/>
  <c r="D55" i="28"/>
  <c r="E55" i="28"/>
  <c r="F55" i="28"/>
  <c r="G55" i="28"/>
  <c r="H55" i="28"/>
  <c r="D60" i="28" s="1"/>
  <c r="D59" i="28"/>
  <c r="C55" i="28"/>
  <c r="D57" i="30"/>
  <c r="D56" i="30"/>
  <c r="C32" i="30"/>
  <c r="C30" i="28"/>
  <c r="D57" i="27"/>
  <c r="D56" i="27"/>
  <c r="C31" i="27"/>
  <c r="I55" i="18"/>
  <c r="D54" i="21"/>
  <c r="C30" i="21"/>
  <c r="D35" i="65" l="1"/>
  <c r="R41" i="14"/>
  <c r="R42" i="14" s="1"/>
  <c r="R43" i="14" s="1"/>
  <c r="D54" i="63"/>
  <c r="C43" i="65" s="1"/>
  <c r="C36" i="50"/>
  <c r="C90" i="50" s="1"/>
  <c r="C47" i="65"/>
  <c r="D58" i="64"/>
  <c r="D57" i="53"/>
  <c r="D57" i="57"/>
  <c r="C37" i="30"/>
  <c r="C92" i="30" s="1"/>
  <c r="H60" i="34"/>
  <c r="H61" i="34" s="1"/>
  <c r="D66" i="34" s="1"/>
  <c r="D61" i="41"/>
  <c r="D62" i="35"/>
  <c r="D58" i="30"/>
  <c r="D61" i="28"/>
  <c r="D58" i="27"/>
  <c r="D56" i="21"/>
  <c r="J60" i="63" l="1"/>
  <c r="C36" i="64"/>
  <c r="C92" i="64" s="1"/>
  <c r="C36" i="35"/>
  <c r="C95" i="35" s="1"/>
  <c r="C36" i="53"/>
  <c r="H75" i="34"/>
  <c r="H74" i="34" s="1"/>
  <c r="C35" i="28"/>
  <c r="C96" i="28" s="1"/>
  <c r="C36" i="27"/>
  <c r="C91" i="27" s="1"/>
  <c r="C35" i="21"/>
  <c r="C89" i="21" s="1"/>
  <c r="D60" i="36"/>
  <c r="D43" i="65" l="1"/>
  <c r="D52" i="65" s="1"/>
  <c r="J74" i="34"/>
  <c r="H26" i="14"/>
  <c r="G26" i="14"/>
  <c r="F26" i="14"/>
  <c r="E26" i="14"/>
  <c r="D26" i="14"/>
  <c r="C26" i="14"/>
  <c r="M155" i="18"/>
  <c r="M9" i="65" l="1"/>
  <c r="C9" i="65"/>
  <c r="A6" i="14"/>
  <c r="E31" i="39" l="1"/>
  <c r="E31" i="46"/>
  <c r="E31" i="34"/>
  <c r="C33" i="30"/>
  <c r="C31" i="66"/>
  <c r="C53" i="66" s="1"/>
  <c r="C31" i="50"/>
  <c r="C31" i="46"/>
  <c r="C31" i="57"/>
  <c r="C31" i="53"/>
  <c r="C31" i="63"/>
  <c r="C53" i="63" s="1"/>
  <c r="F53" i="63" s="1"/>
  <c r="C31" i="64"/>
  <c r="C31" i="41"/>
  <c r="C31" i="36"/>
  <c r="C31" i="35"/>
  <c r="C31" i="34"/>
  <c r="C31" i="39"/>
  <c r="C31" i="21"/>
  <c r="C55" i="21" s="1"/>
  <c r="C32" i="27"/>
  <c r="C31" i="28"/>
  <c r="C24" i="65"/>
  <c r="H91" i="18"/>
  <c r="H92" i="18" s="1"/>
  <c r="M95" i="18"/>
  <c r="M93" i="18"/>
  <c r="F161" i="18"/>
  <c r="F160" i="18"/>
  <c r="F159" i="18"/>
  <c r="F158" i="18"/>
  <c r="F157" i="18"/>
  <c r="I156" i="18"/>
  <c r="I157" i="18" s="1"/>
  <c r="C24" i="18" s="1"/>
  <c r="F156" i="18"/>
  <c r="F155" i="18"/>
  <c r="F154" i="18"/>
  <c r="F153" i="18"/>
  <c r="F152" i="18"/>
  <c r="H151" i="18"/>
  <c r="G151" i="18"/>
  <c r="G152" i="18" s="1"/>
  <c r="I152" i="18" s="1"/>
  <c r="F151" i="18"/>
  <c r="F146" i="18"/>
  <c r="F145" i="18"/>
  <c r="F144" i="18"/>
  <c r="F143" i="18"/>
  <c r="F142" i="18"/>
  <c r="I141" i="18"/>
  <c r="I142" i="18" s="1"/>
  <c r="C23" i="18" s="1"/>
  <c r="F141" i="18"/>
  <c r="F140" i="18"/>
  <c r="F139" i="18"/>
  <c r="F138" i="18"/>
  <c r="F137" i="18"/>
  <c r="H136" i="18"/>
  <c r="H137" i="18" s="1"/>
  <c r="J137" i="18" s="1"/>
  <c r="G136" i="18"/>
  <c r="G137" i="18" s="1"/>
  <c r="I137" i="18" s="1"/>
  <c r="F136" i="18"/>
  <c r="F131" i="18"/>
  <c r="F130" i="18"/>
  <c r="F129" i="18"/>
  <c r="F128" i="18"/>
  <c r="F127" i="18"/>
  <c r="I126" i="18"/>
  <c r="I127" i="18" s="1"/>
  <c r="C22" i="18" s="1"/>
  <c r="F126" i="18"/>
  <c r="F125" i="18"/>
  <c r="F124" i="18"/>
  <c r="F123" i="18"/>
  <c r="F122" i="18"/>
  <c r="H121" i="18"/>
  <c r="H122" i="18" s="1"/>
  <c r="J122" i="18" s="1"/>
  <c r="G121" i="18"/>
  <c r="G122" i="18" s="1"/>
  <c r="I122" i="18" s="1"/>
  <c r="F121" i="18"/>
  <c r="F116" i="18"/>
  <c r="F115" i="18"/>
  <c r="F114" i="18"/>
  <c r="F113" i="18"/>
  <c r="F112" i="18"/>
  <c r="I111" i="18"/>
  <c r="I112" i="18" s="1"/>
  <c r="C21" i="18" s="1"/>
  <c r="F111" i="18"/>
  <c r="F110" i="18"/>
  <c r="F109" i="18"/>
  <c r="F108" i="18"/>
  <c r="F107" i="18"/>
  <c r="H106" i="18"/>
  <c r="H107" i="18" s="1"/>
  <c r="J107" i="18" s="1"/>
  <c r="G106" i="18"/>
  <c r="G107" i="18" s="1"/>
  <c r="I107" i="18" s="1"/>
  <c r="F106" i="18"/>
  <c r="F101" i="18"/>
  <c r="F100" i="18"/>
  <c r="F99" i="18"/>
  <c r="F98" i="18"/>
  <c r="F97" i="18"/>
  <c r="I96" i="18"/>
  <c r="I97" i="18" s="1"/>
  <c r="C20" i="18" s="1"/>
  <c r="F96" i="18"/>
  <c r="F95" i="18"/>
  <c r="F94" i="18"/>
  <c r="F93" i="18"/>
  <c r="F92" i="18"/>
  <c r="G92" i="18"/>
  <c r="F91" i="18"/>
  <c r="F86" i="18"/>
  <c r="F85" i="18"/>
  <c r="F84" i="18"/>
  <c r="F83" i="18"/>
  <c r="F82" i="18"/>
  <c r="I81" i="18"/>
  <c r="I82" i="18" s="1"/>
  <c r="C19" i="18" s="1"/>
  <c r="F81" i="18"/>
  <c r="F80" i="18"/>
  <c r="F79" i="18"/>
  <c r="F78" i="18"/>
  <c r="F77" i="18"/>
  <c r="H76" i="18"/>
  <c r="H77" i="18" s="1"/>
  <c r="J77" i="18" s="1"/>
  <c r="G76" i="18"/>
  <c r="G77" i="18" s="1"/>
  <c r="I77" i="18" s="1"/>
  <c r="F76" i="18"/>
  <c r="F71" i="18"/>
  <c r="F70" i="18"/>
  <c r="F69" i="18"/>
  <c r="F68" i="18"/>
  <c r="F67" i="18"/>
  <c r="I66" i="18"/>
  <c r="I67" i="18" s="1"/>
  <c r="C18" i="18" s="1"/>
  <c r="F66" i="18"/>
  <c r="F65" i="18"/>
  <c r="F64" i="18"/>
  <c r="F63" i="18"/>
  <c r="F62" i="18"/>
  <c r="H61" i="18"/>
  <c r="H62" i="18" s="1"/>
  <c r="J62" i="18" s="1"/>
  <c r="G61" i="18"/>
  <c r="G62" i="18" s="1"/>
  <c r="I62" i="18" s="1"/>
  <c r="F61" i="18"/>
  <c r="F56" i="18"/>
  <c r="F55" i="18"/>
  <c r="F54" i="18"/>
  <c r="F53" i="18"/>
  <c r="F52" i="18"/>
  <c r="I51" i="18"/>
  <c r="I52" i="18" s="1"/>
  <c r="C17" i="18" s="1"/>
  <c r="F51" i="18"/>
  <c r="F50" i="18"/>
  <c r="F49" i="18"/>
  <c r="F48" i="18"/>
  <c r="F47" i="18"/>
  <c r="H46" i="18"/>
  <c r="H47" i="18" s="1"/>
  <c r="G46" i="18"/>
  <c r="G47" i="18" s="1"/>
  <c r="F46" i="18"/>
  <c r="F40" i="18"/>
  <c r="F39" i="18"/>
  <c r="F38" i="18"/>
  <c r="F37" i="18"/>
  <c r="F36" i="18"/>
  <c r="I35" i="18"/>
  <c r="I36" i="18" s="1"/>
  <c r="C16" i="18" s="1"/>
  <c r="F35" i="18"/>
  <c r="F34" i="18"/>
  <c r="F33" i="18"/>
  <c r="F32" i="18"/>
  <c r="F31" i="18"/>
  <c r="H30" i="18"/>
  <c r="H31" i="18" s="1"/>
  <c r="J31" i="18" s="1"/>
  <c r="G30" i="18"/>
  <c r="G31" i="18" s="1"/>
  <c r="I31" i="18" s="1"/>
  <c r="F30" i="18"/>
  <c r="J16" i="18" s="1"/>
  <c r="E28" i="18"/>
  <c r="I24" i="18"/>
  <c r="H24" i="18"/>
  <c r="I23" i="18"/>
  <c r="H23" i="18"/>
  <c r="I22" i="18"/>
  <c r="H22" i="18"/>
  <c r="I21" i="18"/>
  <c r="H21" i="18"/>
  <c r="I20" i="18"/>
  <c r="H20" i="18"/>
  <c r="I19" i="18"/>
  <c r="H19" i="18"/>
  <c r="I18" i="18"/>
  <c r="H18" i="18"/>
  <c r="I17" i="18"/>
  <c r="H17" i="18"/>
  <c r="I16" i="18"/>
  <c r="H16" i="18"/>
  <c r="C66" i="34" l="1"/>
  <c r="C65" i="34"/>
  <c r="C61" i="35"/>
  <c r="C60" i="35"/>
  <c r="C58" i="36"/>
  <c r="C59" i="36"/>
  <c r="C60" i="41"/>
  <c r="C59" i="41"/>
  <c r="C55" i="64"/>
  <c r="C56" i="64"/>
  <c r="C57" i="64"/>
  <c r="C70" i="63"/>
  <c r="E5" i="63" s="1"/>
  <c r="E53" i="63"/>
  <c r="C55" i="53"/>
  <c r="C56" i="53"/>
  <c r="C55" i="57"/>
  <c r="E55" i="57" s="1"/>
  <c r="C75" i="57" s="1"/>
  <c r="C56" i="57"/>
  <c r="C55" i="46"/>
  <c r="C56" i="46"/>
  <c r="C55" i="50"/>
  <c r="C56" i="50"/>
  <c r="C59" i="28"/>
  <c r="C60" i="28"/>
  <c r="F53" i="66"/>
  <c r="C69" i="66" s="1"/>
  <c r="E53" i="66"/>
  <c r="C56" i="30"/>
  <c r="C57" i="30" a="1"/>
  <c r="C57" i="30" s="1"/>
  <c r="C57" i="27"/>
  <c r="C56" i="27"/>
  <c r="C54" i="21"/>
  <c r="D56" i="39"/>
  <c r="C56" i="39"/>
  <c r="C55" i="39"/>
  <c r="C34" i="39"/>
  <c r="C8" i="18"/>
  <c r="C11" i="18"/>
  <c r="C33" i="41" s="1"/>
  <c r="D11" i="18"/>
  <c r="C33" i="28" s="1"/>
  <c r="D7" i="18"/>
  <c r="C10" i="18"/>
  <c r="C7" i="18"/>
  <c r="C13" i="18"/>
  <c r="C33" i="35" s="1"/>
  <c r="D8" i="18"/>
  <c r="D10" i="18"/>
  <c r="C5" i="18"/>
  <c r="C33" i="39"/>
  <c r="I47" i="18"/>
  <c r="C32" i="21" s="1"/>
  <c r="J19" i="18"/>
  <c r="J18" i="18"/>
  <c r="J20" i="18"/>
  <c r="I63" i="18"/>
  <c r="J63" i="18"/>
  <c r="J24" i="18"/>
  <c r="J23" i="18"/>
  <c r="H152" i="18"/>
  <c r="J152" i="18" s="1"/>
  <c r="D13" i="18" s="1"/>
  <c r="J21" i="18"/>
  <c r="J22" i="18"/>
  <c r="J17" i="18"/>
  <c r="I108" i="18"/>
  <c r="J108" i="18"/>
  <c r="I123" i="18"/>
  <c r="J138" i="18"/>
  <c r="J78" i="18"/>
  <c r="I138" i="18"/>
  <c r="L19" i="18"/>
  <c r="I78" i="18"/>
  <c r="J123" i="18"/>
  <c r="I153" i="18"/>
  <c r="I92" i="18"/>
  <c r="C9" i="18" s="1"/>
  <c r="C34" i="36" s="1"/>
  <c r="J47" i="18"/>
  <c r="C33" i="21" s="1"/>
  <c r="H25" i="18"/>
  <c r="H123" i="18"/>
  <c r="L24" i="18"/>
  <c r="L23" i="18"/>
  <c r="L22" i="18"/>
  <c r="L21" i="18"/>
  <c r="M22" i="18"/>
  <c r="M23" i="18"/>
  <c r="L16" i="18"/>
  <c r="I32" i="18"/>
  <c r="M16" i="18"/>
  <c r="J32" i="18"/>
  <c r="L18" i="18"/>
  <c r="M21" i="18"/>
  <c r="M18" i="18"/>
  <c r="M19" i="18"/>
  <c r="G123" i="18"/>
  <c r="C93" i="66" l="1"/>
  <c r="C83" i="66"/>
  <c r="C77" i="66"/>
  <c r="C70" i="66"/>
  <c r="C71" i="66"/>
  <c r="C73" i="66"/>
  <c r="C79" i="66" s="1"/>
  <c r="C72" i="66"/>
  <c r="C78" i="66" s="1"/>
  <c r="J13" i="63"/>
  <c r="J5" i="63"/>
  <c r="J21" i="63"/>
  <c r="C72" i="63"/>
  <c r="C94" i="63"/>
  <c r="E21" i="63" s="1"/>
  <c r="C71" i="63"/>
  <c r="C84" i="63"/>
  <c r="C78" i="63"/>
  <c r="E9" i="63" s="1"/>
  <c r="C73" i="63"/>
  <c r="E6" i="63" s="1"/>
  <c r="C74" i="63"/>
  <c r="E7" i="63" s="1"/>
  <c r="E55" i="46"/>
  <c r="E65" i="34"/>
  <c r="C58" i="64"/>
  <c r="F57" i="64"/>
  <c r="E57" i="64"/>
  <c r="E56" i="64"/>
  <c r="F56" i="64"/>
  <c r="E55" i="64"/>
  <c r="F55" i="64"/>
  <c r="C76" i="64" s="1"/>
  <c r="E60" i="28"/>
  <c r="F60" i="28"/>
  <c r="C61" i="28"/>
  <c r="E59" i="41"/>
  <c r="F60" i="41"/>
  <c r="E60" i="41"/>
  <c r="C61" i="41"/>
  <c r="E56" i="50"/>
  <c r="C57" i="50"/>
  <c r="F56" i="50"/>
  <c r="E55" i="50"/>
  <c r="F55" i="50"/>
  <c r="C74" i="50" s="1"/>
  <c r="E55" i="39"/>
  <c r="E56" i="46"/>
  <c r="C57" i="46"/>
  <c r="F56" i="46"/>
  <c r="E59" i="36"/>
  <c r="C60" i="36"/>
  <c r="F59" i="36"/>
  <c r="E55" i="21"/>
  <c r="C56" i="21"/>
  <c r="F55" i="21"/>
  <c r="F58" i="36"/>
  <c r="C78" i="36" s="1"/>
  <c r="C90" i="36" s="1"/>
  <c r="E58" i="36"/>
  <c r="C57" i="57"/>
  <c r="E56" i="57"/>
  <c r="F60" i="35"/>
  <c r="E60" i="35"/>
  <c r="E59" i="28"/>
  <c r="C57" i="39"/>
  <c r="E56" i="27"/>
  <c r="F56" i="27"/>
  <c r="C62" i="35"/>
  <c r="F61" i="35"/>
  <c r="E61" i="35"/>
  <c r="F54" i="21"/>
  <c r="E54" i="21"/>
  <c r="F57" i="27"/>
  <c r="E57" i="27"/>
  <c r="C58" i="27"/>
  <c r="C57" i="53"/>
  <c r="E56" i="53"/>
  <c r="F56" i="53"/>
  <c r="C33" i="65"/>
  <c r="C52" i="65" s="1"/>
  <c r="F56" i="39"/>
  <c r="E56" i="39"/>
  <c r="D57" i="39"/>
  <c r="C36" i="39" s="1"/>
  <c r="C90" i="39" s="1"/>
  <c r="D57" i="46"/>
  <c r="C36" i="46" s="1"/>
  <c r="C90" i="46" s="1"/>
  <c r="E57" i="30"/>
  <c r="C58" i="30"/>
  <c r="F57" i="30"/>
  <c r="F55" i="53"/>
  <c r="C74" i="53" s="1"/>
  <c r="E55" i="53"/>
  <c r="F66" i="34"/>
  <c r="E66" i="34"/>
  <c r="C67" i="34"/>
  <c r="C95" i="57"/>
  <c r="E21" i="57" s="1"/>
  <c r="C87" i="57"/>
  <c r="E15" i="57" s="1"/>
  <c r="E5" i="57"/>
  <c r="C77" i="57"/>
  <c r="C76" i="57"/>
  <c r="C81" i="57"/>
  <c r="E9" i="57" s="1"/>
  <c r="F56" i="30"/>
  <c r="E56" i="30"/>
  <c r="D67" i="34"/>
  <c r="C35" i="34" s="1"/>
  <c r="C100" i="34" s="1"/>
  <c r="C34" i="41"/>
  <c r="C33" i="27"/>
  <c r="C33" i="34"/>
  <c r="C32" i="28"/>
  <c r="C34" i="35"/>
  <c r="C34" i="27"/>
  <c r="L17" i="18"/>
  <c r="C34" i="30"/>
  <c r="J153" i="18"/>
  <c r="J154" i="18" s="1"/>
  <c r="E24" i="18" s="1"/>
  <c r="M24" i="18"/>
  <c r="M17" i="18"/>
  <c r="J48" i="18"/>
  <c r="G17" i="18" s="1"/>
  <c r="I48" i="18"/>
  <c r="F17" i="18" s="1"/>
  <c r="J92" i="18"/>
  <c r="D9" i="18" s="1"/>
  <c r="I93" i="18"/>
  <c r="G19" i="18"/>
  <c r="J79" i="18"/>
  <c r="E19" i="18" s="1"/>
  <c r="J139" i="18"/>
  <c r="E23" i="18" s="1"/>
  <c r="G23" i="18"/>
  <c r="J109" i="18"/>
  <c r="E21" i="18" s="1"/>
  <c r="G21" i="18"/>
  <c r="F18" i="18"/>
  <c r="I64" i="18"/>
  <c r="D18" i="18" s="1"/>
  <c r="J33" i="18"/>
  <c r="E16" i="18" s="1"/>
  <c r="G16" i="18"/>
  <c r="I154" i="18"/>
  <c r="D24" i="18" s="1"/>
  <c r="F24" i="18"/>
  <c r="G18" i="18"/>
  <c r="J64" i="18"/>
  <c r="E18" i="18" s="1"/>
  <c r="G22" i="18"/>
  <c r="J124" i="18"/>
  <c r="E22" i="18" s="1"/>
  <c r="F21" i="18"/>
  <c r="I109" i="18"/>
  <c r="D21" i="18" s="1"/>
  <c r="F22" i="18"/>
  <c r="I124" i="18"/>
  <c r="D22" i="18" s="1"/>
  <c r="F19" i="18"/>
  <c r="I79" i="18"/>
  <c r="D19" i="18" s="1"/>
  <c r="I33" i="18"/>
  <c r="D16" i="18" s="1"/>
  <c r="F16" i="18"/>
  <c r="I139" i="18"/>
  <c r="D23" i="18" s="1"/>
  <c r="F23" i="18"/>
  <c r="M8" i="65" l="1"/>
  <c r="C8" i="65"/>
  <c r="C95" i="66"/>
  <c r="C97" i="66" s="1"/>
  <c r="C85" i="66"/>
  <c r="C87" i="66" s="1"/>
  <c r="C94" i="66"/>
  <c r="C96" i="66" s="1"/>
  <c r="C84" i="66"/>
  <c r="C86" i="66" s="1"/>
  <c r="J23" i="63"/>
  <c r="E125" i="65" s="1"/>
  <c r="J22" i="63"/>
  <c r="C125" i="65" s="1"/>
  <c r="J24" i="63"/>
  <c r="D125" i="65" s="1"/>
  <c r="J25" i="63"/>
  <c r="F125" i="65" s="1"/>
  <c r="J9" i="63"/>
  <c r="F71" i="65" s="1"/>
  <c r="J8" i="63"/>
  <c r="D71" i="65" s="1"/>
  <c r="J6" i="63"/>
  <c r="C71" i="65" s="1"/>
  <c r="J7" i="63"/>
  <c r="E71" i="65" s="1"/>
  <c r="J17" i="63"/>
  <c r="F98" i="65" s="1"/>
  <c r="J16" i="63"/>
  <c r="D98" i="65" s="1"/>
  <c r="J15" i="63"/>
  <c r="E98" i="65" s="1"/>
  <c r="J14" i="63"/>
  <c r="C98" i="65" s="1"/>
  <c r="C95" i="63"/>
  <c r="C97" i="63" s="1"/>
  <c r="E22" i="63" s="1"/>
  <c r="P43" i="65" s="1"/>
  <c r="J43" i="65"/>
  <c r="E12" i="63"/>
  <c r="M43" i="65" s="1"/>
  <c r="K43" i="65"/>
  <c r="E13" i="63"/>
  <c r="O43" i="65" s="1"/>
  <c r="C86" i="63"/>
  <c r="C88" i="63" s="1"/>
  <c r="E17" i="63" s="1"/>
  <c r="E15" i="63"/>
  <c r="C96" i="63"/>
  <c r="C98" i="63" s="1"/>
  <c r="E23" i="63" s="1"/>
  <c r="C85" i="63"/>
  <c r="C87" i="63" s="1"/>
  <c r="E16" i="63" s="1"/>
  <c r="C80" i="63"/>
  <c r="E11" i="63" s="1"/>
  <c r="N43" i="65" s="1"/>
  <c r="C79" i="63"/>
  <c r="E10" i="63" s="1"/>
  <c r="L43" i="65" s="1"/>
  <c r="F24" i="65"/>
  <c r="C80" i="28"/>
  <c r="C86" i="28"/>
  <c r="E9" i="28" s="1"/>
  <c r="C84" i="34"/>
  <c r="C104" i="34" s="1"/>
  <c r="E21" i="34" s="1"/>
  <c r="C90" i="34"/>
  <c r="E9" i="34" s="1"/>
  <c r="C85" i="35"/>
  <c r="E9" i="35" s="1"/>
  <c r="C79" i="35"/>
  <c r="C99" i="35" s="1"/>
  <c r="E21" i="35" s="1"/>
  <c r="C86" i="53"/>
  <c r="E15" i="53" s="1"/>
  <c r="C94" i="53"/>
  <c r="E21" i="53" s="1"/>
  <c r="E5" i="53"/>
  <c r="C80" i="53"/>
  <c r="E9" i="53" s="1"/>
  <c r="C75" i="53"/>
  <c r="C76" i="53"/>
  <c r="C82" i="30"/>
  <c r="E9" i="30" s="1"/>
  <c r="C76" i="30"/>
  <c r="C88" i="30" s="1"/>
  <c r="E15" i="30" s="1"/>
  <c r="C74" i="46"/>
  <c r="C78" i="41"/>
  <c r="C84" i="41"/>
  <c r="E9" i="41" s="1"/>
  <c r="C73" i="21"/>
  <c r="C79" i="21"/>
  <c r="E9" i="21" s="1"/>
  <c r="E6" i="57"/>
  <c r="C88" i="57"/>
  <c r="E16" i="57" s="1"/>
  <c r="C82" i="57"/>
  <c r="E10" i="57" s="1"/>
  <c r="L46" i="65" s="1"/>
  <c r="E5" i="36"/>
  <c r="C79" i="36"/>
  <c r="C91" i="36" s="1"/>
  <c r="E16" i="36" s="1"/>
  <c r="C80" i="36"/>
  <c r="C92" i="36" s="1"/>
  <c r="E17" i="36" s="1"/>
  <c r="C84" i="36"/>
  <c r="E9" i="36" s="1"/>
  <c r="E7" i="57"/>
  <c r="C89" i="57"/>
  <c r="E17" i="57" s="1"/>
  <c r="C83" i="57"/>
  <c r="E11" i="57" s="1"/>
  <c r="N46" i="65" s="1"/>
  <c r="J5" i="57"/>
  <c r="J21" i="57"/>
  <c r="J13" i="57"/>
  <c r="E5" i="50"/>
  <c r="C80" i="50"/>
  <c r="E9" i="50" s="1"/>
  <c r="C86" i="50"/>
  <c r="E15" i="50" s="1"/>
  <c r="C76" i="50"/>
  <c r="C75" i="50"/>
  <c r="C94" i="50"/>
  <c r="E21" i="50" s="1"/>
  <c r="C80" i="39"/>
  <c r="D9" i="39" s="1"/>
  <c r="C74" i="39"/>
  <c r="C81" i="27"/>
  <c r="E9" i="27" s="1"/>
  <c r="C75" i="27"/>
  <c r="C87" i="27" s="1"/>
  <c r="C88" i="64"/>
  <c r="E15" i="64" s="1"/>
  <c r="E5" i="64"/>
  <c r="C96" i="64"/>
  <c r="E21" i="64" s="1"/>
  <c r="C77" i="64"/>
  <c r="C82" i="64"/>
  <c r="E9" i="64" s="1"/>
  <c r="C78" i="64"/>
  <c r="C96" i="57"/>
  <c r="E22" i="57" s="1"/>
  <c r="P46" i="65" s="1"/>
  <c r="C97" i="57"/>
  <c r="E23" i="57" s="1"/>
  <c r="R46" i="65" s="1"/>
  <c r="C35" i="36"/>
  <c r="C98" i="36" s="1"/>
  <c r="C35" i="30"/>
  <c r="E15" i="36"/>
  <c r="G24" i="18"/>
  <c r="J93" i="18"/>
  <c r="J49" i="18"/>
  <c r="E17" i="18" s="1"/>
  <c r="I49" i="18"/>
  <c r="D17" i="18" s="1"/>
  <c r="M20" i="18"/>
  <c r="L20" i="18"/>
  <c r="C11" i="65" l="1"/>
  <c r="C10" i="65"/>
  <c r="E24" i="63"/>
  <c r="R43" i="65"/>
  <c r="E25" i="63"/>
  <c r="S43" i="65" s="1"/>
  <c r="E18" i="63"/>
  <c r="E19" i="63"/>
  <c r="C96" i="30"/>
  <c r="E21" i="30" s="1"/>
  <c r="C97" i="64"/>
  <c r="E22" i="64" s="1"/>
  <c r="P42" i="65" s="1"/>
  <c r="E15" i="27"/>
  <c r="E6" i="36"/>
  <c r="C85" i="36"/>
  <c r="E10" i="36" s="1"/>
  <c r="C80" i="46"/>
  <c r="E9" i="46" s="1"/>
  <c r="C86" i="46"/>
  <c r="E15" i="46" s="1"/>
  <c r="E5" i="46"/>
  <c r="C75" i="46"/>
  <c r="C76" i="46"/>
  <c r="J21" i="36"/>
  <c r="J13" i="36"/>
  <c r="J5" i="36"/>
  <c r="E5" i="28"/>
  <c r="C81" i="28"/>
  <c r="C82" i="28"/>
  <c r="C100" i="28"/>
  <c r="E21" i="28" s="1"/>
  <c r="J13" i="64"/>
  <c r="J5" i="64"/>
  <c r="J21" i="64"/>
  <c r="C78" i="30"/>
  <c r="C77" i="30"/>
  <c r="C77" i="27"/>
  <c r="C76" i="27"/>
  <c r="E5" i="27"/>
  <c r="J46" i="65"/>
  <c r="J22" i="57"/>
  <c r="C128" i="65" s="1"/>
  <c r="J16" i="57"/>
  <c r="D101" i="65" s="1"/>
  <c r="E24" i="57"/>
  <c r="E12" i="57"/>
  <c r="J14" i="57"/>
  <c r="C101" i="65" s="1"/>
  <c r="J24" i="57"/>
  <c r="D128" i="65" s="1"/>
  <c r="E18" i="57"/>
  <c r="J6" i="57"/>
  <c r="C74" i="65" s="1"/>
  <c r="J8" i="57"/>
  <c r="D74" i="65" s="1"/>
  <c r="C92" i="28"/>
  <c r="E15" i="28" s="1"/>
  <c r="K46" i="65"/>
  <c r="E13" i="57"/>
  <c r="J9" i="57"/>
  <c r="F74" i="65" s="1"/>
  <c r="J23" i="57"/>
  <c r="E128" i="65" s="1"/>
  <c r="E19" i="57"/>
  <c r="J17" i="57"/>
  <c r="F101" i="65" s="1"/>
  <c r="J25" i="57"/>
  <c r="F128" i="65" s="1"/>
  <c r="J15" i="57"/>
  <c r="E101" i="65" s="1"/>
  <c r="E25" i="57"/>
  <c r="J7" i="57"/>
  <c r="E74" i="65" s="1"/>
  <c r="E7" i="53"/>
  <c r="C88" i="53"/>
  <c r="E17" i="53" s="1"/>
  <c r="C82" i="53"/>
  <c r="E11" i="53" s="1"/>
  <c r="N47" i="65" s="1"/>
  <c r="C96" i="53"/>
  <c r="E23" i="53" s="1"/>
  <c r="R47" i="65" s="1"/>
  <c r="C76" i="39"/>
  <c r="D5" i="39"/>
  <c r="C75" i="39"/>
  <c r="C86" i="39"/>
  <c r="D15" i="39" s="1"/>
  <c r="E6" i="53"/>
  <c r="C81" i="53"/>
  <c r="E10" i="53" s="1"/>
  <c r="L47" i="65" s="1"/>
  <c r="C87" i="53"/>
  <c r="E16" i="53" s="1"/>
  <c r="C95" i="53"/>
  <c r="E22" i="53" s="1"/>
  <c r="C98" i="64"/>
  <c r="E23" i="64" s="1"/>
  <c r="J13" i="53"/>
  <c r="J5" i="53"/>
  <c r="J21" i="53"/>
  <c r="E6" i="50"/>
  <c r="C81" i="50"/>
  <c r="E10" i="50" s="1"/>
  <c r="L50" i="65" s="1"/>
  <c r="C95" i="50"/>
  <c r="E22" i="50" s="1"/>
  <c r="P50" i="65" s="1"/>
  <c r="C87" i="50"/>
  <c r="E16" i="50" s="1"/>
  <c r="C95" i="27"/>
  <c r="E21" i="27" s="1"/>
  <c r="E7" i="50"/>
  <c r="C96" i="50"/>
  <c r="E23" i="50" s="1"/>
  <c r="R50" i="65" s="1"/>
  <c r="C88" i="50"/>
  <c r="E17" i="50" s="1"/>
  <c r="C82" i="50"/>
  <c r="E11" i="50" s="1"/>
  <c r="N50" i="65" s="1"/>
  <c r="C74" i="21"/>
  <c r="C75" i="21"/>
  <c r="E5" i="21"/>
  <c r="C93" i="21"/>
  <c r="E21" i="21" s="1"/>
  <c r="C85" i="21"/>
  <c r="C94" i="46"/>
  <c r="E21" i="46" s="1"/>
  <c r="C80" i="35"/>
  <c r="E5" i="35"/>
  <c r="C81" i="35"/>
  <c r="C91" i="35"/>
  <c r="E15" i="35" s="1"/>
  <c r="E6" i="64"/>
  <c r="C83" i="64"/>
  <c r="E10" i="64" s="1"/>
  <c r="L42" i="65" s="1"/>
  <c r="C89" i="64"/>
  <c r="E16" i="64" s="1"/>
  <c r="J5" i="50"/>
  <c r="J13" i="50"/>
  <c r="N5" i="50"/>
  <c r="J21" i="50"/>
  <c r="E7" i="64"/>
  <c r="C90" i="64"/>
  <c r="E17" i="64" s="1"/>
  <c r="C84" i="64"/>
  <c r="E11" i="64" s="1"/>
  <c r="N42" i="65" s="1"/>
  <c r="C85" i="34"/>
  <c r="C86" i="34"/>
  <c r="E5" i="34"/>
  <c r="C96" i="34"/>
  <c r="E15" i="34" s="1"/>
  <c r="C86" i="36"/>
  <c r="E11" i="36" s="1"/>
  <c r="E7" i="36"/>
  <c r="E5" i="41"/>
  <c r="C80" i="41"/>
  <c r="C79" i="41"/>
  <c r="C90" i="41"/>
  <c r="E15" i="41" s="1"/>
  <c r="C98" i="41"/>
  <c r="E21" i="41" s="1"/>
  <c r="C94" i="39"/>
  <c r="D21" i="39" s="1"/>
  <c r="C100" i="36"/>
  <c r="E23" i="36" s="1"/>
  <c r="E21" i="36"/>
  <c r="C99" i="36"/>
  <c r="E22" i="36" s="1"/>
  <c r="J94" i="18"/>
  <c r="E25" i="18"/>
  <c r="G20" i="18"/>
  <c r="G25" i="18" s="1"/>
  <c r="D25" i="18"/>
  <c r="I94" i="18"/>
  <c r="D20" i="18" s="1"/>
  <c r="F20" i="18"/>
  <c r="F25" i="18" s="1"/>
  <c r="C98" i="30" l="1"/>
  <c r="E23" i="30" s="1"/>
  <c r="C97" i="30"/>
  <c r="E22" i="30" s="1"/>
  <c r="P34" i="65" s="1"/>
  <c r="J8" i="50"/>
  <c r="D78" i="65" s="1"/>
  <c r="E6" i="34"/>
  <c r="C91" i="34"/>
  <c r="E10" i="34" s="1"/>
  <c r="C97" i="34"/>
  <c r="E16" i="34" s="1"/>
  <c r="C105" i="34"/>
  <c r="E22" i="34" s="1"/>
  <c r="C86" i="21"/>
  <c r="E16" i="21" s="1"/>
  <c r="E15" i="21"/>
  <c r="E24" i="50"/>
  <c r="E12" i="50"/>
  <c r="J50" i="65"/>
  <c r="J14" i="50"/>
  <c r="C105" i="65" s="1"/>
  <c r="J16" i="50"/>
  <c r="D105" i="65" s="1"/>
  <c r="N6" i="50"/>
  <c r="N8" i="50"/>
  <c r="E18" i="50"/>
  <c r="J6" i="50"/>
  <c r="C78" i="65" s="1"/>
  <c r="J24" i="50"/>
  <c r="D132" i="65" s="1"/>
  <c r="J22" i="50"/>
  <c r="C132" i="65" s="1"/>
  <c r="E7" i="28"/>
  <c r="C88" i="28"/>
  <c r="E11" i="28" s="1"/>
  <c r="C102" i="28"/>
  <c r="E23" i="28" s="1"/>
  <c r="C94" i="28"/>
  <c r="E17" i="28" s="1"/>
  <c r="D6" i="39"/>
  <c r="C81" i="39"/>
  <c r="D10" i="39" s="1"/>
  <c r="C87" i="39"/>
  <c r="D16" i="39" s="1"/>
  <c r="C95" i="39"/>
  <c r="D22" i="39" s="1"/>
  <c r="E6" i="28"/>
  <c r="C87" i="28"/>
  <c r="E10" i="28" s="1"/>
  <c r="C101" i="28"/>
  <c r="E22" i="28" s="1"/>
  <c r="C93" i="28"/>
  <c r="E16" i="28" s="1"/>
  <c r="J21" i="21"/>
  <c r="J5" i="21"/>
  <c r="J13" i="21"/>
  <c r="J21" i="39"/>
  <c r="J13" i="39"/>
  <c r="J5" i="39"/>
  <c r="J21" i="28"/>
  <c r="J13" i="28"/>
  <c r="J5" i="28"/>
  <c r="E19" i="64"/>
  <c r="E13" i="64"/>
  <c r="K42" i="65"/>
  <c r="E25" i="64"/>
  <c r="J23" i="64"/>
  <c r="E124" i="65" s="1"/>
  <c r="J15" i="64"/>
  <c r="E97" i="65" s="1"/>
  <c r="J25" i="64"/>
  <c r="F124" i="65" s="1"/>
  <c r="J7" i="64"/>
  <c r="E70" i="65" s="1"/>
  <c r="J9" i="64"/>
  <c r="F70" i="65" s="1"/>
  <c r="J17" i="64"/>
  <c r="F97" i="65" s="1"/>
  <c r="E7" i="21"/>
  <c r="C81" i="21"/>
  <c r="E11" i="21" s="1"/>
  <c r="C95" i="21"/>
  <c r="E23" i="21" s="1"/>
  <c r="C87" i="21"/>
  <c r="E17" i="21" s="1"/>
  <c r="C82" i="39"/>
  <c r="D11" i="39" s="1"/>
  <c r="D7" i="39"/>
  <c r="C88" i="39"/>
  <c r="D17" i="39" s="1"/>
  <c r="C96" i="39"/>
  <c r="D23" i="39" s="1"/>
  <c r="E6" i="21"/>
  <c r="C80" i="21"/>
  <c r="E10" i="21" s="1"/>
  <c r="C94" i="21"/>
  <c r="E22" i="21" s="1"/>
  <c r="J21" i="27"/>
  <c r="J13" i="27"/>
  <c r="J5" i="27"/>
  <c r="C82" i="27"/>
  <c r="E10" i="27" s="1"/>
  <c r="E6" i="27"/>
  <c r="C96" i="27"/>
  <c r="E22" i="27" s="1"/>
  <c r="C88" i="27"/>
  <c r="E16" i="27" s="1"/>
  <c r="K47" i="65"/>
  <c r="E19" i="53"/>
  <c r="J15" i="53"/>
  <c r="E102" i="65" s="1"/>
  <c r="J25" i="53"/>
  <c r="F129" i="65" s="1"/>
  <c r="J9" i="53"/>
  <c r="F75" i="65" s="1"/>
  <c r="J17" i="53"/>
  <c r="F102" i="65" s="1"/>
  <c r="J7" i="53"/>
  <c r="E75" i="65" s="1"/>
  <c r="E13" i="53"/>
  <c r="J23" i="53"/>
  <c r="E129" i="65" s="1"/>
  <c r="E25" i="53"/>
  <c r="E7" i="27"/>
  <c r="C83" i="27"/>
  <c r="E11" i="27" s="1"/>
  <c r="C97" i="27"/>
  <c r="E23" i="27" s="1"/>
  <c r="E7" i="46"/>
  <c r="C88" i="46"/>
  <c r="E17" i="46" s="1"/>
  <c r="C82" i="46"/>
  <c r="E11" i="46" s="1"/>
  <c r="N49" i="65" s="1"/>
  <c r="C96" i="46"/>
  <c r="E23" i="46" s="1"/>
  <c r="R49" i="65" s="1"/>
  <c r="E6" i="30"/>
  <c r="C83" i="30"/>
  <c r="E10" i="30" s="1"/>
  <c r="C89" i="30"/>
  <c r="E16" i="30" s="1"/>
  <c r="E6" i="46"/>
  <c r="C87" i="46"/>
  <c r="E16" i="46" s="1"/>
  <c r="C95" i="46"/>
  <c r="E22" i="46" s="1"/>
  <c r="P49" i="65" s="1"/>
  <c r="C81" i="46"/>
  <c r="E10" i="46" s="1"/>
  <c r="L49" i="65" s="1"/>
  <c r="E7" i="41"/>
  <c r="C86" i="41"/>
  <c r="E11" i="41" s="1"/>
  <c r="C92" i="41"/>
  <c r="E17" i="41" s="1"/>
  <c r="C100" i="41"/>
  <c r="E23" i="41" s="1"/>
  <c r="E7" i="30"/>
  <c r="C84" i="30"/>
  <c r="E11" i="30" s="1"/>
  <c r="C90" i="30"/>
  <c r="E17" i="30" s="1"/>
  <c r="N5" i="46"/>
  <c r="J21" i="46"/>
  <c r="J13" i="46"/>
  <c r="J5" i="46"/>
  <c r="E6" i="41"/>
  <c r="C85" i="41"/>
  <c r="E10" i="41" s="1"/>
  <c r="C91" i="41"/>
  <c r="E16" i="41" s="1"/>
  <c r="C99" i="41"/>
  <c r="E22" i="41" s="1"/>
  <c r="J13" i="41"/>
  <c r="J5" i="41"/>
  <c r="J21" i="41"/>
  <c r="E7" i="35"/>
  <c r="C87" i="35"/>
  <c r="E11" i="35" s="1"/>
  <c r="C93" i="35"/>
  <c r="E17" i="35" s="1"/>
  <c r="C101" i="35"/>
  <c r="E23" i="35" s="1"/>
  <c r="J13" i="30"/>
  <c r="J21" i="30"/>
  <c r="J5" i="30"/>
  <c r="E18" i="64"/>
  <c r="J42" i="65"/>
  <c r="E12" i="64"/>
  <c r="J6" i="64"/>
  <c r="C70" i="65" s="1"/>
  <c r="J14" i="64"/>
  <c r="C97" i="65" s="1"/>
  <c r="E24" i="64"/>
  <c r="J24" i="64"/>
  <c r="D124" i="65" s="1"/>
  <c r="J8" i="64"/>
  <c r="D70" i="65" s="1"/>
  <c r="J16" i="64"/>
  <c r="D97" i="65" s="1"/>
  <c r="J22" i="64"/>
  <c r="C124" i="65" s="1"/>
  <c r="E19" i="36"/>
  <c r="E13" i="36"/>
  <c r="E25" i="36"/>
  <c r="J17" i="36"/>
  <c r="F96" i="65" s="1"/>
  <c r="J25" i="36"/>
  <c r="F123" i="65" s="1"/>
  <c r="J23" i="36"/>
  <c r="E123" i="65" s="1"/>
  <c r="J7" i="36"/>
  <c r="E69" i="65" s="1"/>
  <c r="J9" i="36"/>
  <c r="F69" i="65" s="1"/>
  <c r="J15" i="36"/>
  <c r="E96" i="65" s="1"/>
  <c r="K41" i="65"/>
  <c r="J13" i="35"/>
  <c r="J5" i="35"/>
  <c r="J21" i="35"/>
  <c r="E13" i="50"/>
  <c r="K50" i="65"/>
  <c r="J15" i="50"/>
  <c r="E105" i="65" s="1"/>
  <c r="E25" i="50"/>
  <c r="J7" i="50"/>
  <c r="E78" i="65" s="1"/>
  <c r="J17" i="50"/>
  <c r="F105" i="65" s="1"/>
  <c r="N7" i="50"/>
  <c r="J9" i="50"/>
  <c r="F78" i="65" s="1"/>
  <c r="E19" i="50"/>
  <c r="N9" i="50"/>
  <c r="J23" i="50"/>
  <c r="E132" i="65" s="1"/>
  <c r="N41" i="65"/>
  <c r="E6" i="35"/>
  <c r="C86" i="35"/>
  <c r="E10" i="35" s="1"/>
  <c r="C92" i="35"/>
  <c r="E16" i="35" s="1"/>
  <c r="C100" i="35"/>
  <c r="E22" i="35" s="1"/>
  <c r="L41" i="65"/>
  <c r="J47" i="65"/>
  <c r="J16" i="53"/>
  <c r="D102" i="65" s="1"/>
  <c r="J22" i="53"/>
  <c r="C129" i="65" s="1"/>
  <c r="J8" i="53"/>
  <c r="D75" i="65" s="1"/>
  <c r="J14" i="53"/>
  <c r="C102" i="65" s="1"/>
  <c r="J6" i="53"/>
  <c r="C75" i="65" s="1"/>
  <c r="E12" i="53"/>
  <c r="J24" i="53"/>
  <c r="D129" i="65" s="1"/>
  <c r="E18" i="53"/>
  <c r="E24" i="53"/>
  <c r="E18" i="36"/>
  <c r="E12" i="36"/>
  <c r="E24" i="36"/>
  <c r="J14" i="36"/>
  <c r="C96" i="65" s="1"/>
  <c r="J16" i="36"/>
  <c r="D96" i="65" s="1"/>
  <c r="J24" i="36"/>
  <c r="D123" i="65" s="1"/>
  <c r="J22" i="36"/>
  <c r="C123" i="65" s="1"/>
  <c r="J6" i="36"/>
  <c r="C69" i="65" s="1"/>
  <c r="J8" i="36"/>
  <c r="D69" i="65" s="1"/>
  <c r="J41" i="65"/>
  <c r="J25" i="50"/>
  <c r="F132" i="65" s="1"/>
  <c r="J5" i="34"/>
  <c r="J21" i="34"/>
  <c r="J13" i="34"/>
  <c r="C92" i="34"/>
  <c r="E11" i="34" s="1"/>
  <c r="E7" i="34"/>
  <c r="C98" i="34"/>
  <c r="E17" i="34" s="1"/>
  <c r="C106" i="34"/>
  <c r="E23" i="34" s="1"/>
  <c r="C89" i="27"/>
  <c r="E17" i="27" s="1"/>
  <c r="P41" i="65"/>
  <c r="R41" i="65"/>
  <c r="R34" i="65"/>
  <c r="E20" i="18"/>
  <c r="B21" i="14"/>
  <c r="C21" i="14"/>
  <c r="D21" i="14"/>
  <c r="E21" i="14"/>
  <c r="F21" i="14"/>
  <c r="G21" i="14"/>
  <c r="A21" i="14"/>
  <c r="N16" i="28" l="1"/>
  <c r="D147" i="65" s="1"/>
  <c r="N14" i="28"/>
  <c r="C147" i="65" s="1"/>
  <c r="N17" i="28"/>
  <c r="F147" i="65" s="1"/>
  <c r="N15" i="28"/>
  <c r="E147" i="65" s="1"/>
  <c r="N14" i="41"/>
  <c r="C146" i="65" s="1"/>
  <c r="N16" i="41"/>
  <c r="D146" i="65" s="1"/>
  <c r="N15" i="41"/>
  <c r="E146" i="65" s="1"/>
  <c r="N17" i="41"/>
  <c r="F146" i="65" s="1"/>
  <c r="N14" i="39"/>
  <c r="C143" i="65" s="1"/>
  <c r="N16" i="39"/>
  <c r="D143" i="65" s="1"/>
  <c r="N17" i="39"/>
  <c r="F143" i="65" s="1"/>
  <c r="N15" i="39"/>
  <c r="E143" i="65" s="1"/>
  <c r="N16" i="46"/>
  <c r="D159" i="65" s="1"/>
  <c r="N14" i="46"/>
  <c r="C159" i="65" s="1"/>
  <c r="N17" i="46"/>
  <c r="F159" i="65" s="1"/>
  <c r="N15" i="46"/>
  <c r="E159" i="65" s="1"/>
  <c r="N15" i="34"/>
  <c r="E149" i="65" s="1"/>
  <c r="N17" i="34"/>
  <c r="F149" i="65" s="1"/>
  <c r="N16" i="34"/>
  <c r="D149" i="65" s="1"/>
  <c r="N14" i="34"/>
  <c r="C149" i="65" s="1"/>
  <c r="R39" i="65"/>
  <c r="J23" i="35"/>
  <c r="E122" i="65" s="1"/>
  <c r="J17" i="35"/>
  <c r="F95" i="65" s="1"/>
  <c r="J15" i="35"/>
  <c r="E95" i="65" s="1"/>
  <c r="J25" i="35"/>
  <c r="F122" i="65" s="1"/>
  <c r="J7" i="35"/>
  <c r="E68" i="65" s="1"/>
  <c r="J9" i="35"/>
  <c r="F68" i="65" s="1"/>
  <c r="E13" i="35"/>
  <c r="K40" i="65"/>
  <c r="E19" i="35"/>
  <c r="E25" i="35"/>
  <c r="L34" i="65"/>
  <c r="P35" i="65"/>
  <c r="J24" i="30"/>
  <c r="D116" i="65" s="1"/>
  <c r="J8" i="30"/>
  <c r="D62" i="65" s="1"/>
  <c r="J22" i="30"/>
  <c r="C116" i="65" s="1"/>
  <c r="J6" i="30"/>
  <c r="C62" i="65" s="1"/>
  <c r="J16" i="30"/>
  <c r="D89" i="65" s="1"/>
  <c r="J14" i="30"/>
  <c r="C89" i="65" s="1"/>
  <c r="E12" i="30"/>
  <c r="J34" i="65"/>
  <c r="E18" i="30"/>
  <c r="E24" i="30"/>
  <c r="L35" i="65"/>
  <c r="P40" i="65"/>
  <c r="J23" i="34"/>
  <c r="E121" i="65" s="1"/>
  <c r="J7" i="34"/>
  <c r="E67" i="65" s="1"/>
  <c r="J9" i="34"/>
  <c r="F67" i="65" s="1"/>
  <c r="J17" i="34"/>
  <c r="F94" i="65" s="1"/>
  <c r="J15" i="34"/>
  <c r="E94" i="65" s="1"/>
  <c r="J25" i="34"/>
  <c r="F121" i="65" s="1"/>
  <c r="K39" i="65"/>
  <c r="E13" i="34"/>
  <c r="O39" i="65" s="1"/>
  <c r="E19" i="34"/>
  <c r="E25" i="34"/>
  <c r="S39" i="65" s="1"/>
  <c r="J24" i="21"/>
  <c r="D117" i="65" s="1"/>
  <c r="J8" i="21"/>
  <c r="D63" i="65" s="1"/>
  <c r="J22" i="21"/>
  <c r="C117" i="65" s="1"/>
  <c r="J16" i="21"/>
  <c r="D90" i="65" s="1"/>
  <c r="J6" i="21"/>
  <c r="C63" i="65" s="1"/>
  <c r="J14" i="21"/>
  <c r="C90" i="65" s="1"/>
  <c r="E12" i="21"/>
  <c r="J35" i="65"/>
  <c r="E24" i="21"/>
  <c r="E18" i="21"/>
  <c r="N34" i="65"/>
  <c r="R33" i="65"/>
  <c r="K49" i="65"/>
  <c r="E25" i="46"/>
  <c r="S49" i="65" s="1"/>
  <c r="J17" i="46"/>
  <c r="F104" i="65" s="1"/>
  <c r="J7" i="46"/>
  <c r="E77" i="65" s="1"/>
  <c r="J23" i="46"/>
  <c r="E131" i="65" s="1"/>
  <c r="J15" i="46"/>
  <c r="E104" i="65" s="1"/>
  <c r="N7" i="46"/>
  <c r="E13" i="46"/>
  <c r="O49" i="65" s="1"/>
  <c r="E19" i="46"/>
  <c r="N9" i="46"/>
  <c r="J25" i="46"/>
  <c r="F131" i="65" s="1"/>
  <c r="J9" i="46"/>
  <c r="F77" i="65" s="1"/>
  <c r="D13" i="39"/>
  <c r="O33" i="65" s="1"/>
  <c r="J25" i="39"/>
  <c r="F115" i="65" s="1"/>
  <c r="J23" i="39"/>
  <c r="E115" i="65" s="1"/>
  <c r="J15" i="39"/>
  <c r="E88" i="65" s="1"/>
  <c r="J17" i="39"/>
  <c r="F88" i="65" s="1"/>
  <c r="J7" i="39"/>
  <c r="E61" i="65" s="1"/>
  <c r="J9" i="39"/>
  <c r="F61" i="65" s="1"/>
  <c r="K33" i="65"/>
  <c r="D19" i="39"/>
  <c r="D25" i="39"/>
  <c r="S33" i="65" s="1"/>
  <c r="L37" i="65"/>
  <c r="P37" i="65"/>
  <c r="R38" i="65"/>
  <c r="P38" i="65"/>
  <c r="N33" i="65"/>
  <c r="J6" i="28"/>
  <c r="C65" i="65" s="1"/>
  <c r="J24" i="28"/>
  <c r="D119" i="65" s="1"/>
  <c r="J22" i="28"/>
  <c r="C119" i="65" s="1"/>
  <c r="J8" i="28"/>
  <c r="D65" i="65" s="1"/>
  <c r="J16" i="28"/>
  <c r="D92" i="65" s="1"/>
  <c r="J14" i="28"/>
  <c r="C92" i="65" s="1"/>
  <c r="J37" i="65"/>
  <c r="E12" i="28"/>
  <c r="M37" i="65" s="1"/>
  <c r="E18" i="28"/>
  <c r="E24" i="28"/>
  <c r="Q37" i="65" s="1"/>
  <c r="R36" i="65"/>
  <c r="N38" i="65"/>
  <c r="J14" i="27"/>
  <c r="C93" i="65" s="1"/>
  <c r="J22" i="27"/>
  <c r="C120" i="65" s="1"/>
  <c r="J24" i="27"/>
  <c r="D120" i="65" s="1"/>
  <c r="J8" i="27"/>
  <c r="D66" i="65" s="1"/>
  <c r="J6" i="27"/>
  <c r="C66" i="65" s="1"/>
  <c r="J16" i="27"/>
  <c r="D93" i="65" s="1"/>
  <c r="J38" i="65"/>
  <c r="E12" i="27"/>
  <c r="E24" i="27"/>
  <c r="E18" i="27"/>
  <c r="P33" i="65"/>
  <c r="R35" i="65"/>
  <c r="P36" i="65"/>
  <c r="J23" i="27"/>
  <c r="E120" i="65" s="1"/>
  <c r="J25" i="27"/>
  <c r="F120" i="65" s="1"/>
  <c r="J7" i="27"/>
  <c r="E66" i="65" s="1"/>
  <c r="J9" i="27"/>
  <c r="F66" i="65" s="1"/>
  <c r="J15" i="27"/>
  <c r="E93" i="65" s="1"/>
  <c r="J17" i="27"/>
  <c r="F93" i="65" s="1"/>
  <c r="K38" i="65"/>
  <c r="E13" i="27"/>
  <c r="E25" i="27"/>
  <c r="E19" i="27"/>
  <c r="N35" i="65"/>
  <c r="L33" i="65"/>
  <c r="L38" i="65"/>
  <c r="N36" i="65"/>
  <c r="L40" i="65"/>
  <c r="L36" i="65"/>
  <c r="J23" i="41"/>
  <c r="E118" i="65" s="1"/>
  <c r="J9" i="41"/>
  <c r="F64" i="65" s="1"/>
  <c r="J17" i="41"/>
  <c r="F91" i="65" s="1"/>
  <c r="J7" i="41"/>
  <c r="E64" i="65" s="1"/>
  <c r="J15" i="41"/>
  <c r="E91" i="65" s="1"/>
  <c r="J25" i="41"/>
  <c r="F118" i="65" s="1"/>
  <c r="E13" i="41"/>
  <c r="O36" i="65" s="1"/>
  <c r="K36" i="65"/>
  <c r="E19" i="41"/>
  <c r="E25" i="41"/>
  <c r="S36" i="65" s="1"/>
  <c r="J25" i="21"/>
  <c r="F117" i="65" s="1"/>
  <c r="J23" i="21"/>
  <c r="E117" i="65" s="1"/>
  <c r="J17" i="21"/>
  <c r="F90" i="65" s="1"/>
  <c r="J9" i="21"/>
  <c r="F63" i="65" s="1"/>
  <c r="J15" i="21"/>
  <c r="E90" i="65" s="1"/>
  <c r="J7" i="21"/>
  <c r="E63" i="65" s="1"/>
  <c r="E13" i="21"/>
  <c r="K35" i="65"/>
  <c r="E19" i="21"/>
  <c r="E25" i="21"/>
  <c r="D12" i="39"/>
  <c r="M33" i="65" s="1"/>
  <c r="J6" i="39"/>
  <c r="C61" i="65" s="1"/>
  <c r="J16" i="39"/>
  <c r="D88" i="65" s="1"/>
  <c r="J24" i="39"/>
  <c r="D115" i="65" s="1"/>
  <c r="J22" i="39"/>
  <c r="C115" i="65" s="1"/>
  <c r="J14" i="39"/>
  <c r="C88" i="65" s="1"/>
  <c r="J8" i="39"/>
  <c r="D61" i="65" s="1"/>
  <c r="J33" i="65"/>
  <c r="D18" i="39"/>
  <c r="D24" i="39"/>
  <c r="Q33" i="65" s="1"/>
  <c r="J24" i="41"/>
  <c r="D118" i="65" s="1"/>
  <c r="J6" i="41"/>
  <c r="C64" i="65" s="1"/>
  <c r="J14" i="41"/>
  <c r="C91" i="65" s="1"/>
  <c r="J16" i="41"/>
  <c r="D91" i="65" s="1"/>
  <c r="J8" i="41"/>
  <c r="D64" i="65" s="1"/>
  <c r="J22" i="41"/>
  <c r="C118" i="65" s="1"/>
  <c r="J36" i="65"/>
  <c r="E12" i="41"/>
  <c r="M36" i="65" s="1"/>
  <c r="E18" i="41"/>
  <c r="E24" i="41"/>
  <c r="Q36" i="65" s="1"/>
  <c r="N39" i="65"/>
  <c r="R37" i="65"/>
  <c r="P39" i="65"/>
  <c r="J22" i="35"/>
  <c r="C122" i="65" s="1"/>
  <c r="J24" i="35"/>
  <c r="D122" i="65" s="1"/>
  <c r="J14" i="35"/>
  <c r="C95" i="65" s="1"/>
  <c r="J16" i="35"/>
  <c r="D95" i="65" s="1"/>
  <c r="J8" i="35"/>
  <c r="D68" i="65" s="1"/>
  <c r="J6" i="35"/>
  <c r="C68" i="65" s="1"/>
  <c r="E12" i="35"/>
  <c r="J40" i="65"/>
  <c r="E18" i="35"/>
  <c r="E24" i="35"/>
  <c r="N37" i="65"/>
  <c r="J25" i="30"/>
  <c r="F116" i="65" s="1"/>
  <c r="J15" i="30"/>
  <c r="E89" i="65" s="1"/>
  <c r="J23" i="30"/>
  <c r="E116" i="65" s="1"/>
  <c r="J17" i="30"/>
  <c r="F89" i="65" s="1"/>
  <c r="J7" i="30"/>
  <c r="E62" i="65" s="1"/>
  <c r="J9" i="30"/>
  <c r="F62" i="65" s="1"/>
  <c r="E13" i="30"/>
  <c r="K34" i="65"/>
  <c r="E19" i="30"/>
  <c r="E25" i="30"/>
  <c r="R40" i="65"/>
  <c r="J49" i="65"/>
  <c r="J16" i="46"/>
  <c r="D104" i="65" s="1"/>
  <c r="J6" i="46"/>
  <c r="C77" i="65" s="1"/>
  <c r="N6" i="46"/>
  <c r="J8" i="46"/>
  <c r="D77" i="65" s="1"/>
  <c r="N8" i="46"/>
  <c r="E12" i="46"/>
  <c r="M49" i="65" s="1"/>
  <c r="E24" i="46"/>
  <c r="Q49" i="65" s="1"/>
  <c r="E18" i="46"/>
  <c r="J22" i="46"/>
  <c r="C131" i="65" s="1"/>
  <c r="J24" i="46"/>
  <c r="D131" i="65" s="1"/>
  <c r="J14" i="46"/>
  <c r="C104" i="65" s="1"/>
  <c r="J23" i="28"/>
  <c r="E119" i="65" s="1"/>
  <c r="J25" i="28"/>
  <c r="F119" i="65" s="1"/>
  <c r="J17" i="28"/>
  <c r="F92" i="65" s="1"/>
  <c r="J15" i="28"/>
  <c r="E92" i="65" s="1"/>
  <c r="J9" i="28"/>
  <c r="F65" i="65" s="1"/>
  <c r="J7" i="28"/>
  <c r="E65" i="65" s="1"/>
  <c r="K37" i="65"/>
  <c r="E13" i="28"/>
  <c r="O37" i="65" s="1"/>
  <c r="E19" i="28"/>
  <c r="E25" i="28"/>
  <c r="S37" i="65" s="1"/>
  <c r="L39" i="65"/>
  <c r="N40" i="65"/>
  <c r="J24" i="34"/>
  <c r="D121" i="65" s="1"/>
  <c r="J22" i="34"/>
  <c r="C121" i="65" s="1"/>
  <c r="J6" i="34"/>
  <c r="C67" i="65" s="1"/>
  <c r="J8" i="34"/>
  <c r="D67" i="65" s="1"/>
  <c r="J16" i="34"/>
  <c r="D94" i="65" s="1"/>
  <c r="J14" i="34"/>
  <c r="C94" i="65" s="1"/>
  <c r="J39" i="65"/>
  <c r="E12" i="34"/>
  <c r="M39" i="65" s="1"/>
  <c r="E18" i="34"/>
  <c r="E24" i="34"/>
  <c r="Q39" i="65" s="1"/>
  <c r="H21" i="14"/>
  <c r="A3" i="14"/>
  <c r="C162" i="65" l="1"/>
  <c r="E162" i="65"/>
  <c r="M52" i="65"/>
  <c r="D162" i="65"/>
  <c r="F162" i="65"/>
  <c r="O52" i="65"/>
  <c r="Q52" i="65"/>
  <c r="S52" i="65"/>
  <c r="D80" i="65"/>
  <c r="D134" i="65"/>
  <c r="E80" i="65"/>
  <c r="F80" i="65"/>
  <c r="C134" i="65"/>
  <c r="C107" i="65"/>
  <c r="C80" i="65"/>
  <c r="D107" i="65"/>
  <c r="F134" i="65"/>
  <c r="E107" i="65"/>
  <c r="E134" i="65"/>
  <c r="F107" i="65"/>
  <c r="K52" i="65"/>
  <c r="C25" i="65" s="1"/>
  <c r="J52" i="65"/>
  <c r="F25" i="65" s="1"/>
  <c r="N52" i="65"/>
  <c r="L52" i="65"/>
  <c r="C28" i="66"/>
  <c r="I49" i="66" s="1"/>
  <c r="C28" i="63"/>
  <c r="C30" i="30"/>
  <c r="C28" i="50"/>
  <c r="I49" i="50" s="1"/>
  <c r="C28" i="46"/>
  <c r="I49" i="46" s="1"/>
  <c r="C28" i="57"/>
  <c r="I49" i="57" s="1"/>
  <c r="C28" i="53"/>
  <c r="I49" i="53" s="1"/>
  <c r="C28" i="64"/>
  <c r="I49" i="64" s="1"/>
  <c r="C28" i="41"/>
  <c r="C28" i="36"/>
  <c r="C28" i="35"/>
  <c r="C28" i="28"/>
  <c r="C28" i="21"/>
  <c r="I48" i="21" s="1"/>
  <c r="C29" i="27"/>
  <c r="C28" i="39"/>
  <c r="C28" i="34"/>
  <c r="R52" i="65"/>
  <c r="P52" i="65"/>
  <c r="P9" i="65" l="1"/>
  <c r="F9" i="65"/>
  <c r="P8" i="65"/>
  <c r="F8" i="65"/>
  <c r="N9" i="65"/>
  <c r="D9" i="65"/>
  <c r="N8" i="65"/>
  <c r="D8" i="65"/>
  <c r="I8" i="65"/>
  <c r="S8" i="65"/>
  <c r="H8" i="65"/>
  <c r="R8" i="65"/>
  <c r="Q9" i="65"/>
  <c r="G9" i="65"/>
  <c r="G8" i="65"/>
  <c r="Q8" i="65"/>
  <c r="O9" i="65"/>
  <c r="E9" i="65"/>
  <c r="H9" i="65"/>
  <c r="R9" i="65"/>
  <c r="O8" i="65"/>
  <c r="E8" i="65"/>
  <c r="S9" i="65"/>
  <c r="I9" i="65"/>
  <c r="C26" i="65"/>
  <c r="F26" i="65"/>
  <c r="C27" i="65"/>
  <c r="F27" i="65"/>
  <c r="I49" i="63"/>
  <c r="I49" i="21"/>
  <c r="I50" i="21"/>
  <c r="I52" i="35"/>
  <c r="I50" i="35"/>
  <c r="I49" i="35"/>
  <c r="I51" i="35"/>
  <c r="I53" i="35"/>
  <c r="I54" i="35"/>
  <c r="I55" i="35"/>
  <c r="I49" i="28"/>
  <c r="I54" i="28"/>
  <c r="I50" i="28"/>
  <c r="I48" i="28"/>
  <c r="I51" i="28"/>
  <c r="I53" i="28"/>
  <c r="I52" i="28"/>
  <c r="I55" i="28"/>
  <c r="I51" i="36"/>
  <c r="I52" i="36"/>
  <c r="I50" i="36"/>
  <c r="I51" i="27"/>
  <c r="I52" i="27"/>
  <c r="I53" i="41"/>
  <c r="I54" i="41"/>
  <c r="I49" i="41"/>
  <c r="I50" i="41"/>
  <c r="I51" i="41"/>
  <c r="I52" i="41"/>
  <c r="I57" i="34"/>
  <c r="I52" i="34"/>
  <c r="I49" i="34"/>
  <c r="I51" i="34"/>
  <c r="I48" i="34"/>
  <c r="I50" i="34"/>
  <c r="D11" i="65" l="1"/>
  <c r="D10" i="65"/>
  <c r="F11" i="65"/>
  <c r="F10" i="65"/>
  <c r="E11" i="65"/>
  <c r="E10" i="65"/>
  <c r="G11" i="65"/>
  <c r="G10" i="65"/>
  <c r="H11" i="65"/>
  <c r="H10" i="65"/>
  <c r="I10" i="65"/>
  <c r="I11" i="65"/>
  <c r="U54" i="6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tc={CA0229D0-6AA1-42C0-BD85-EFB288B8E3F5}</author>
  </authors>
  <commentList>
    <comment ref="D13" authorId="0" shapeId="0" xr:uid="{CA0229D0-6AA1-42C0-BD85-EFB288B8E3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Crescimento considerado flat devido a alto nível de agregação em "outros transportes" e impacto econômico da pandemia no setor, que gerou uma queda brusca do crescimento em 2019-21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<sst xmlns="http://schemas.openxmlformats.org/spreadsheetml/2006/main" count="9186" uniqueCount="1133">
  <si>
    <t>Manufacture of food products (C10)</t>
  </si>
  <si>
    <t>Manufacture of chemicals and chemical products (C20)</t>
  </si>
  <si>
    <t>Manufacture of basic pharmaceutical products and pharmaceutical preparations (C21)</t>
  </si>
  <si>
    <t>Manufacture of basic metals (C24)</t>
  </si>
  <si>
    <t>Manufacture of computer, electronic and optical products (C26)</t>
  </si>
  <si>
    <t>Manufacture of electrical equipment (C27)</t>
  </si>
  <si>
    <t>Manufacture of machinery and equipment n.e.c. (C28)</t>
  </si>
  <si>
    <t>Manufacture of motor vehicles, trailers and semi-trailers (C29)</t>
  </si>
  <si>
    <t>Manufacture of other transport equipment (C30)</t>
  </si>
  <si>
    <t>1.2. Máquinas agrícolas</t>
  </si>
  <si>
    <t>2.1. Princípio ativo</t>
  </si>
  <si>
    <t>2.2. Biofármacos e vacinas</t>
  </si>
  <si>
    <t>3.3. Metroferroviários</t>
  </si>
  <si>
    <t>4.1. Semicondutores</t>
  </si>
  <si>
    <t>4.2. Robos Industriais</t>
  </si>
  <si>
    <t>5.1. Nova geração de combustíveis</t>
  </si>
  <si>
    <t>6.2. Radares</t>
  </si>
  <si>
    <t>Nichos</t>
  </si>
  <si>
    <t>Brazil</t>
  </si>
  <si>
    <t>Tabela 7752 - Produção e vendas dos produtos e/ou serviços industriais, segundo as classes de atividades e os produtos - Prodlists Indústria 2016 e 2019</t>
  </si>
  <si>
    <t>Brasil</t>
  </si>
  <si>
    <t>Variável - Valor da produção (Mil Reais)</t>
  </si>
  <si>
    <t>Classes das atividades industriais e produtos - Prodlist 2016 e Prodlist 2019</t>
  </si>
  <si>
    <t>Ano</t>
  </si>
  <si>
    <t>2014</t>
  </si>
  <si>
    <t>2015</t>
  </si>
  <si>
    <t>2016</t>
  </si>
  <si>
    <t>2017</t>
  </si>
  <si>
    <t>2018</t>
  </si>
  <si>
    <t>2019</t>
  </si>
  <si>
    <t>2020</t>
  </si>
  <si>
    <t>2021</t>
  </si>
  <si>
    <t>3041 Fabricação de aeronaves</t>
  </si>
  <si>
    <t>3041.9020 Serviços de produção de aeronaves</t>
  </si>
  <si>
    <t>X</t>
  </si>
  <si>
    <t>-</t>
  </si>
  <si>
    <t>Fonte: IBGE - Pesquisa Industrial Anual - Produto</t>
  </si>
  <si>
    <t>Fertilizantes e biofertilizantes</t>
  </si>
  <si>
    <t>https://www.inflation.eu/pt/taxas-de-inflacao/brasil/inflacao-historica/ipc-inflacao-brasil.aspx</t>
  </si>
  <si>
    <t>CAGR</t>
  </si>
  <si>
    <t>Manufacture of basic metals</t>
  </si>
  <si>
    <t>Setor</t>
  </si>
  <si>
    <t>28 Fabricação de máquinas e equipamentos</t>
  </si>
  <si>
    <t>2016 Corrigido</t>
  </si>
  <si>
    <t>Setor produtivo</t>
  </si>
  <si>
    <t>28.31-3 Fabricação de tratores agrícolas</t>
  </si>
  <si>
    <t>28.32-1 Fabricação de equipamentos para irrigação agrícola</t>
  </si>
  <si>
    <t>28.33-0 Fabricação de máquinas e equipamentos para a agricultura e pecuária, exceto para irrigação</t>
  </si>
  <si>
    <t xml:space="preserve">Dif Valor add </t>
  </si>
  <si>
    <t>1.</t>
  </si>
  <si>
    <t>2.</t>
  </si>
  <si>
    <t>0.</t>
  </si>
  <si>
    <t>Premissas:</t>
  </si>
  <si>
    <t>Manufacture of machinery and equipment</t>
  </si>
  <si>
    <t>Country</t>
  </si>
  <si>
    <t>2015 pvalue</t>
  </si>
  <si>
    <t>2021 pvalue</t>
  </si>
  <si>
    <t>Value Variation 2015-2021</t>
  </si>
  <si>
    <t>&lt; range w15t21</t>
  </si>
  <si>
    <t>&gt; range w15t21</t>
  </si>
  <si>
    <t>Total Market 2015</t>
  </si>
  <si>
    <t>Total Market 2021</t>
  </si>
  <si>
    <t>Total Market 2033</t>
  </si>
  <si>
    <t>Canada</t>
  </si>
  <si>
    <t>2015-2021 global</t>
  </si>
  <si>
    <t>2021-2033 global</t>
  </si>
  <si>
    <t>Netherlands</t>
  </si>
  <si>
    <t>Switzerland</t>
  </si>
  <si>
    <t>20115-2021 CAGR</t>
  </si>
  <si>
    <t>2021-2033 CAGR</t>
  </si>
  <si>
    <t>India</t>
  </si>
  <si>
    <t>Current scenario</t>
  </si>
  <si>
    <t>Austria</t>
  </si>
  <si>
    <t>Taiwan</t>
  </si>
  <si>
    <t>Sweden</t>
  </si>
  <si>
    <t>Mexico</t>
  </si>
  <si>
    <t>United Kingdom</t>
  </si>
  <si>
    <t>Spain</t>
  </si>
  <si>
    <t>2021 mktshare</t>
  </si>
  <si>
    <t>&lt; mktshare</t>
  </si>
  <si>
    <t xml:space="preserve"> &gt; mktshare</t>
  </si>
  <si>
    <t>2021 Current Value</t>
  </si>
  <si>
    <t>Current CARG</t>
  </si>
  <si>
    <t>&lt; carg</t>
  </si>
  <si>
    <t>&gt; carg</t>
  </si>
  <si>
    <t>2015 Value</t>
  </si>
  <si>
    <t>Alimentos</t>
  </si>
  <si>
    <t>Químicos</t>
  </si>
  <si>
    <t>Metais básicos</t>
  </si>
  <si>
    <t>Automotivo</t>
  </si>
  <si>
    <t>Maquinário</t>
  </si>
  <si>
    <t>Elétricos</t>
  </si>
  <si>
    <t>Fármacos</t>
  </si>
  <si>
    <t xml:space="preserve">Outros transportes </t>
  </si>
  <si>
    <t>Eletrônicos</t>
  </si>
  <si>
    <t xml:space="preserve">Total </t>
  </si>
  <si>
    <t>Manufacture of food products</t>
  </si>
  <si>
    <t>France</t>
  </si>
  <si>
    <t>Germany</t>
  </si>
  <si>
    <t>Indonesia</t>
  </si>
  <si>
    <t>Japan</t>
  </si>
  <si>
    <t>Italy</t>
  </si>
  <si>
    <t>Nigeria</t>
  </si>
  <si>
    <t>Manufacture of chemicals</t>
  </si>
  <si>
    <t>South Korea</t>
  </si>
  <si>
    <t>Saudi Arabia</t>
  </si>
  <si>
    <t>Russia</t>
  </si>
  <si>
    <t>Iran</t>
  </si>
  <si>
    <t>Turkey</t>
  </si>
  <si>
    <t>Thailand</t>
  </si>
  <si>
    <t>Manufacture of motor vehicles, trailers and semi-trailers</t>
  </si>
  <si>
    <t>Czech Republic</t>
  </si>
  <si>
    <t>Poland</t>
  </si>
  <si>
    <t>Hungary</t>
  </si>
  <si>
    <t>Manufacture of electrical equipment</t>
  </si>
  <si>
    <t>Manufacture of basic pharmaceutical</t>
  </si>
  <si>
    <t>Denmark</t>
  </si>
  <si>
    <t>2015-2021 CAGR</t>
  </si>
  <si>
    <t>Belgium</t>
  </si>
  <si>
    <t>Manufacture of other transport equipment</t>
  </si>
  <si>
    <t>Australia</t>
  </si>
  <si>
    <t>Singapore</t>
  </si>
  <si>
    <t>Vietnam</t>
  </si>
  <si>
    <t>Israel</t>
  </si>
  <si>
    <t>Bangladesh</t>
  </si>
  <si>
    <t>Manufacture of computer, electronic and optical products</t>
  </si>
  <si>
    <t>Finland</t>
  </si>
  <si>
    <t>Ireland</t>
  </si>
  <si>
    <t>Potencial nichos produtivos - M1: Máquinas agrícolas</t>
  </si>
  <si>
    <t>Country Name</t>
  </si>
  <si>
    <t>Industry Name</t>
  </si>
  <si>
    <t>Units</t>
  </si>
  <si>
    <t>2010</t>
  </si>
  <si>
    <t>Value Variation 2010-2021</t>
  </si>
  <si>
    <t>Dif Bench-BR 2010 Adjust</t>
  </si>
  <si>
    <t>2026</t>
  </si>
  <si>
    <t>2030</t>
  </si>
  <si>
    <t>2033</t>
  </si>
  <si>
    <t>2040</t>
  </si>
  <si>
    <t>Brazil 2010 Value</t>
  </si>
  <si>
    <t>Dif Bench-BR 2010</t>
  </si>
  <si>
    <t>United States</t>
  </si>
  <si>
    <t>Argentina</t>
  </si>
  <si>
    <t>United Arab Emirates</t>
  </si>
  <si>
    <t>Malaysia</t>
  </si>
  <si>
    <t>South Africa</t>
  </si>
  <si>
    <t>Egypt</t>
  </si>
  <si>
    <t>Peru</t>
  </si>
  <si>
    <t>Bahrain</t>
  </si>
  <si>
    <t>Ukraine</t>
  </si>
  <si>
    <t>Philippines</t>
  </si>
  <si>
    <t>Norway</t>
  </si>
  <si>
    <t>Colombia</t>
  </si>
  <si>
    <t>Oman</t>
  </si>
  <si>
    <t>Pakistan</t>
  </si>
  <si>
    <t>Qatar</t>
  </si>
  <si>
    <t>Greece</t>
  </si>
  <si>
    <t>Slovakia</t>
  </si>
  <si>
    <t>Ghana</t>
  </si>
  <si>
    <t>Kuwait</t>
  </si>
  <si>
    <t>Bulgaria</t>
  </si>
  <si>
    <t>Portugal</t>
  </si>
  <si>
    <t>Romania</t>
  </si>
  <si>
    <t>New Zealand</t>
  </si>
  <si>
    <t>Morocco</t>
  </si>
  <si>
    <t>Ecuador</t>
  </si>
  <si>
    <t>Honduras</t>
  </si>
  <si>
    <t>Hong Kong SAR</t>
  </si>
  <si>
    <t>Tunisia</t>
  </si>
  <si>
    <t>Costa Rica</t>
  </si>
  <si>
    <t>Chile</t>
  </si>
  <si>
    <t>Cameroon</t>
  </si>
  <si>
    <t>Uruguay</t>
  </si>
  <si>
    <t>Panama</t>
  </si>
  <si>
    <t>Sri Lanka</t>
  </si>
  <si>
    <t>Kenya</t>
  </si>
  <si>
    <t>Jordan</t>
  </si>
  <si>
    <t>Bolivia</t>
  </si>
  <si>
    <t>Senegal</t>
  </si>
  <si>
    <t>World</t>
  </si>
  <si>
    <t>Total Market 2030</t>
  </si>
  <si>
    <t>&lt; range 2030</t>
  </si>
  <si>
    <t>&gt; range 2030</t>
  </si>
  <si>
    <t>Current scenario mkt share</t>
  </si>
  <si>
    <t>Valores em Milhões USD</t>
  </si>
  <si>
    <t>Cenário otimista</t>
  </si>
  <si>
    <t>2021-2030 global</t>
  </si>
  <si>
    <t>Mercado Equip BR (2030) = Mercado Equip Global (2030) * Market Share 2030</t>
  </si>
  <si>
    <t>Market Share 2030 = Market Share hoje + uma premissa de quanto conseguimos crescer (alto/medio/baixo, com percentuais diferentes -&gt; Hipótese)</t>
  </si>
  <si>
    <t>% Equip Agri em BR -&gt; 2 formas:
- % esperado em 2030, dado CAGR
- % que temos em 2021</t>
  </si>
  <si>
    <t>Potencial nichos produtivos - M1: Fertilizantes e Biofertilizantes</t>
  </si>
  <si>
    <t>20 Fabricação de produtos químicos</t>
  </si>
  <si>
    <t>20.12-6 Fabricação de intermediários para fertilizantes</t>
  </si>
  <si>
    <t>20.13-4 Fabricação de adubos e fertilizantes</t>
  </si>
  <si>
    <t>26 Fabricação de equipamentos de informática, produtos eletrônicos e ópticos</t>
  </si>
  <si>
    <t>26.6 Fabricação de aparelhos eletromédicos e eletroterapêuticos e equipamentos de irradiação</t>
  </si>
  <si>
    <t>Potencial nichos produtivos - M2: Equipamentos médicos de imagem</t>
  </si>
  <si>
    <t>Fabricação de equipamentos de informática, produtos eletrônicos e ópticos</t>
  </si>
  <si>
    <t>Equipamentos médicos de imagem</t>
  </si>
  <si>
    <t>Relação real dolar</t>
  </si>
  <si>
    <t xml:space="preserve">Inflação USD </t>
  </si>
  <si>
    <t>correção USD 16-21</t>
  </si>
  <si>
    <t>tx correção BRL 16-21</t>
  </si>
  <si>
    <t>Conversão real-dolar 21</t>
  </si>
  <si>
    <t>Conversão real-dolar 16</t>
  </si>
  <si>
    <t>Taxa de correção valor presente USD 2016-21</t>
  </si>
  <si>
    <t>Taxa de correção valor presente BRL 2016-21</t>
  </si>
  <si>
    <t>Nicho máquinas agrícolas</t>
  </si>
  <si>
    <t xml:space="preserve">Máquinas agrícolas, inclusive autônomas, e suas partes e peças </t>
  </si>
  <si>
    <t>Princípios ativos</t>
  </si>
  <si>
    <t>Biofármacos e vacinas</t>
  </si>
  <si>
    <t>Metroferroviário</t>
  </si>
  <si>
    <t>Semicondutores</t>
  </si>
  <si>
    <t>Robôs industriais</t>
  </si>
  <si>
    <t>Plataformas e tecnologias digitais avançadas</t>
  </si>
  <si>
    <t>Hidrogênio verde (incluindo eletrolisadores)</t>
  </si>
  <si>
    <t>Aeronáutica</t>
  </si>
  <si>
    <t xml:space="preserve">Radares </t>
  </si>
  <si>
    <t>Satélites</t>
  </si>
  <si>
    <t>Fabricação de biocombustíveis</t>
  </si>
  <si>
    <t>Descarbonização</t>
  </si>
  <si>
    <t>Aerogeradores</t>
  </si>
  <si>
    <t xml:space="preserve"> </t>
  </si>
  <si>
    <t>Veículoshíbridos e elétricos</t>
  </si>
  <si>
    <t>Nicho (bio) fertilizantes</t>
  </si>
  <si>
    <t>28 Fabricação de produtos químicos</t>
  </si>
  <si>
    <t>fertilizante</t>
  </si>
  <si>
    <t>%</t>
  </si>
  <si>
    <t>Valores em Mil Reais Valor Presente 2021</t>
  </si>
  <si>
    <t>Valores em Milhões USD Valor Presente 2021</t>
  </si>
  <si>
    <t>Dados valor adicionado nicho produtivo (base PIA-Empresa IBGE)</t>
  </si>
  <si>
    <t>participação</t>
  </si>
  <si>
    <t>Value add (USD Mi)</t>
  </si>
  <si>
    <t>Equipamentos médicos e de imagem</t>
  </si>
  <si>
    <t>21 Fabricação de produtos farmoquímicos e farmacêuticos</t>
  </si>
  <si>
    <t>21.1 Fabricação de produtos farmoquímicos</t>
  </si>
  <si>
    <t>21.10-6 Fabricação de produtos farmoquímicos</t>
  </si>
  <si>
    <t>21.2 Fabricação de produtos farmacêuticos</t>
  </si>
  <si>
    <t>21.21-1 Fabricação de medicamentos para uso humano</t>
  </si>
  <si>
    <t>21.22-0 Fabricação de medicamentos para uso veterinário</t>
  </si>
  <si>
    <t>21.23-8 Fabricação de preparações farmacêuticas</t>
  </si>
  <si>
    <t>Setor farma</t>
  </si>
  <si>
    <t>Nicho biofármacos e vacinas</t>
  </si>
  <si>
    <t>2021-2030 CAGR</t>
  </si>
  <si>
    <t>Setor máquinas e equipamentos</t>
  </si>
  <si>
    <t>&gt; rg Value 2030</t>
  </si>
  <si>
    <t>&lt; rg Value 2030</t>
  </si>
  <si>
    <t>Potencial nichos produtivos - M1: Agricultura de precisão</t>
  </si>
  <si>
    <t>Potencial nichos produtivos - M2: Princípio Ativo</t>
  </si>
  <si>
    <t>29 Fabricação de veículos automotores, reboques e carrocerias</t>
  </si>
  <si>
    <t>29.1 Fabricação de automóveis, camionetas e utilitários</t>
  </si>
  <si>
    <t>29.10-7 Fabricação de automóveis, camionetas e utilitários</t>
  </si>
  <si>
    <t>29.2 Fabricação de caminhões e ônibus</t>
  </si>
  <si>
    <t>29.4 Fabricação de peças e acessórios para veículos automotores</t>
  </si>
  <si>
    <t>29.5 Recondicionamento e recuperação de motores para veículos automotores</t>
  </si>
  <si>
    <t>30 Fabricação de outros equipamentos de transporte, exceto veículos automotores</t>
  </si>
  <si>
    <t>30.1 Construção de embarcações</t>
  </si>
  <si>
    <t>30.3 Fabricação de veículos ferroviários</t>
  </si>
  <si>
    <t>30.31-8 Fabricação de locomotivas, vagões e outros materiais rodantes</t>
  </si>
  <si>
    <t>30.32-6 Fabricação de peças e acessórios para veículos ferroviários</t>
  </si>
  <si>
    <t>30.4 Fabricação de aeronaves</t>
  </si>
  <si>
    <t>30.41-5 Fabricação de aeronaves</t>
  </si>
  <si>
    <t>30.42-3 Fabricação de turbinas, motores e outros componentes e peças para aeronaves</t>
  </si>
  <si>
    <t>30.9 Fabricação de equipamentos de transporte não especificados anteriormente</t>
  </si>
  <si>
    <t>30.91-1 Fabricação de motocicletas</t>
  </si>
  <si>
    <t>30.92-0 Fabricação de bicicletas e triciclos não-motorizados</t>
  </si>
  <si>
    <t>30.99-7 Fabricação de equipamentos de transporte não especificados anteriormente</t>
  </si>
  <si>
    <t>Proporção de ferroviários vs outros transportes</t>
  </si>
  <si>
    <t>Setor outros transportes</t>
  </si>
  <si>
    <t>Nicho metroferroviários</t>
  </si>
  <si>
    <t>Potencial nichos produtivos - M3: Metroferroviário</t>
  </si>
  <si>
    <t>Potencial nichos produtivos - M4: Semicondutores</t>
  </si>
  <si>
    <t>26.1 Fabricação de componentes eletrônicos</t>
  </si>
  <si>
    <t>26.10-8 Fabricação de componentes eletrônicos</t>
  </si>
  <si>
    <t>26.2 Fabricação de equipamentos de informática e periféricos</t>
  </si>
  <si>
    <t>27.9 Fabricação de equipamentos e aparelhos elétricos não especificados anteriormente</t>
  </si>
  <si>
    <t>27.90-2 Fabricação de equipamentos e aparelhos elétricos não especificados anteriormente</t>
  </si>
  <si>
    <t>29.45-0 Fabricação de material elétrico e eletrônico para veículos automotores, exceto baterias</t>
  </si>
  <si>
    <t>28.22-4 Fabricação de máquinas, equipamentos e aparelhos para transporte e elevação de cargas e pessoas</t>
  </si>
  <si>
    <t>28.29-1 Fabricação de máquinas e equipamentos de uso geral não especificados anteriormente</t>
  </si>
  <si>
    <t>28.40-2 Fabricação de máquinas-ferramenta</t>
  </si>
  <si>
    <t>28.52-6 Fabricação de outras máquinas e equipamentos para uso na extração mineral, exceto na extração de petróleo</t>
  </si>
  <si>
    <t>28.62-3 Fabricação de máquinas e equipamentos para as indústrias de alimentos, bebidas e fumo</t>
  </si>
  <si>
    <t>28.69-1 Fabricação de máquinas e equipamentos para uso industrial específico não especificados anteriormente</t>
  </si>
  <si>
    <t>Nicho semicondutores</t>
  </si>
  <si>
    <t>Setor eletrônicos</t>
  </si>
  <si>
    <t>Potencial nichos produtivos - M4: Robos Industriais</t>
  </si>
  <si>
    <t>Nicho Robôs</t>
  </si>
  <si>
    <t>1.3. (Bio) Fertilizantes</t>
  </si>
  <si>
    <t>2.3.Eq médicos de imagem</t>
  </si>
  <si>
    <t>Proporção receita produtos componentes eletrônicos/ semicondutor</t>
  </si>
  <si>
    <t>Proporção receita produtos máquinas ferramenta/ robos industriais</t>
  </si>
  <si>
    <t>Proporção receita produtos máquinas e eq. não especf./ robos industriais</t>
  </si>
  <si>
    <t>Drones</t>
  </si>
  <si>
    <t>CAGR global projetado para drones agrícolas</t>
  </si>
  <si>
    <t>Nicho Drones</t>
  </si>
  <si>
    <t>Proporção receita produtos farmoquímicos e farmaceuticos/ IFA</t>
  </si>
  <si>
    <t>Nicho Princípio Ativo</t>
  </si>
  <si>
    <t>Setor fámacos</t>
  </si>
  <si>
    <t>Nicho princípio ativo</t>
  </si>
  <si>
    <t>Tabela 7244 - Estrutura do valor da transformação e do valor adicionado das empresas industriais com 30 ou mais pessoas ocupadas, segundo as divisões, os grupos e as classes de atividades - Brasil</t>
  </si>
  <si>
    <t>Variável - Valor bruto da produção (Mil Reais)</t>
  </si>
  <si>
    <t>Classificação Nacional de Atividades Econômicas (CNAE 2.0)</t>
  </si>
  <si>
    <t>Total</t>
  </si>
  <si>
    <t>B Indústrias extrativas</t>
  </si>
  <si>
    <t>05 Extração de carvão mineral</t>
  </si>
  <si>
    <t>05.0 Extração de carvão mineral</t>
  </si>
  <si>
    <t>05.00-3 Extração de carvão mineral</t>
  </si>
  <si>
    <t>06 Extração de petróleo e gás natural</t>
  </si>
  <si>
    <t>06.0 Extração de petróleo e gás natural</t>
  </si>
  <si>
    <t>06.00-0 Extração de petróleo e gás natural</t>
  </si>
  <si>
    <t>07 Extração de minerais metálicos</t>
  </si>
  <si>
    <t>07.1 Extração de minério de ferro</t>
  </si>
  <si>
    <t>07.10-3 Extração de minério de ferro</t>
  </si>
  <si>
    <t>07.2 Extração de minerais metálicos não-ferrosos</t>
  </si>
  <si>
    <t>07.21-9 Extração de minério de alumínio</t>
  </si>
  <si>
    <t>07.22-7 Extração de minério de estanho</t>
  </si>
  <si>
    <t>07.23-5 Extração de minério de manganês</t>
  </si>
  <si>
    <t>07.24-3 Extração de minério de metais preciosos</t>
  </si>
  <si>
    <t>07.25-1 Extração de minerais radioativos</t>
  </si>
  <si>
    <t>07.29-4 Extração de minerais metálicos não-ferrosos não especificados anteriormente</t>
  </si>
  <si>
    <t>08 Extração de minerais não-metálicos</t>
  </si>
  <si>
    <t>08.1 Extração de pedra, areia e argila</t>
  </si>
  <si>
    <t>08.10-0 Extração de pedra, areia e argila</t>
  </si>
  <si>
    <t>08.9 Extração de outros minerais não-metálicos</t>
  </si>
  <si>
    <t>08.91-6 Extração de minerais para fabricação de adubos, fertilizantes e outros produtos químicos</t>
  </si>
  <si>
    <t>08.92-4 Extração e refino de sal marinho e sal-gema</t>
  </si>
  <si>
    <t>08.93-2 Extração de gemas (pedras preciosas e semipreciosas)</t>
  </si>
  <si>
    <t>08.99-1 Extração de minerais não-metálicos não especificados anteriormente</t>
  </si>
  <si>
    <t>09 Atividades de apoio à extração de minerais</t>
  </si>
  <si>
    <t>09.1 Atividades de apoio à extração de petróleo e gás natural</t>
  </si>
  <si>
    <t>09.10-6 Atividades de apoio à extração de petróleo e gás natural</t>
  </si>
  <si>
    <t>09.9 Atividades de apoio à extração de minerais, exceto petróleo e gás natural</t>
  </si>
  <si>
    <t>09.90-4 Atividades de apoio à extração de minerais, exceto petróleo e gás natural</t>
  </si>
  <si>
    <t>C Indústrias de transformação</t>
  </si>
  <si>
    <t>10 Fabricação de produtos alimentícios</t>
  </si>
  <si>
    <t>10.1 Abate e fabricação de produtos de carne</t>
  </si>
  <si>
    <t>10.11-2 Abate de reses, exceto suínos</t>
  </si>
  <si>
    <t>10.12-1 Abate de suínos, aves e outros pequenos animais</t>
  </si>
  <si>
    <t>10.13-9 Fabricação de produtos de carne</t>
  </si>
  <si>
    <t>10.2 Preservação do pescado e fabricação de produtos do pescado</t>
  </si>
  <si>
    <t>10.20-1 Preservação do pescado e fabricação de produtos do pescado</t>
  </si>
  <si>
    <t>10.3 Fabricação de conservas de frutas, legumes e outros vegetais</t>
  </si>
  <si>
    <t>10.31-7 Fabricação de conservas de frutas</t>
  </si>
  <si>
    <t>10.32-5 Fabricação de conservas de legumes e outros vegetais</t>
  </si>
  <si>
    <t>10.33-3 Fabricação de sucos de frutas, hortaliças e legumes</t>
  </si>
  <si>
    <t>10.4 Fabricação de óleos e gorduras vegetais e animais</t>
  </si>
  <si>
    <t>10.41-4 Fabricação de óleos vegetais em bruto, exceto óleo de milho</t>
  </si>
  <si>
    <t>10.42-2 Fabricação de óleos vegetais refinados, exceto óleo de milho</t>
  </si>
  <si>
    <t>10.43-1 Fabricação de margarina e outras gorduras vegetais e de óleos não-comestíveis de animais</t>
  </si>
  <si>
    <t>10.5 Laticínios</t>
  </si>
  <si>
    <t>10.51-1 Preparação do leite</t>
  </si>
  <si>
    <t>10.52-0 Fabricação de laticínios</t>
  </si>
  <si>
    <t>10.53-8 Fabricação de sorvetes e outros gelados comestíveis</t>
  </si>
  <si>
    <t>10.6 Moagem, fabricação de produtos amiláceos e de alimentos para animais</t>
  </si>
  <si>
    <t>10.61-9 Beneficiamento de arroz e fabricação de produtos do arroz</t>
  </si>
  <si>
    <t>10.62-7 Moagem de trigo e fabricação de derivados</t>
  </si>
  <si>
    <t>10.63-5 Fabricação de farinha de mandioca e derivados</t>
  </si>
  <si>
    <t>10.64-3 Fabricação de farinha de milho e derivados, exceto óleos de milho</t>
  </si>
  <si>
    <t>10.65-1 Fabricação de amidos e féculas de vegetais e de óleos de milho</t>
  </si>
  <si>
    <t>10.66-0 Fabricação de alimentos para animais</t>
  </si>
  <si>
    <t>10.69-4 Moagem e fabricação de produtos de origem vegetal não especificados anteriormente</t>
  </si>
  <si>
    <t>10.7 Fabricação e refino de açúcar</t>
  </si>
  <si>
    <t>10.71-6 Fabricação de açúcar em bruto</t>
  </si>
  <si>
    <t>10.72-4 Fabricação de açúcar refinado</t>
  </si>
  <si>
    <t>10.8 Torrefação e moagem de café</t>
  </si>
  <si>
    <t>10.81-3 Torrefação e moagem de café</t>
  </si>
  <si>
    <t>10.82-1 Fabricação de produtos à base de café</t>
  </si>
  <si>
    <t>10.9 Fabricação de outros produtos alimentícios</t>
  </si>
  <si>
    <t>10.91-1 Fabricação de produtos de panificação</t>
  </si>
  <si>
    <t>10.92-9 Fabricação de biscoitos e bolachas</t>
  </si>
  <si>
    <t>10.93-7 Fabricação de produtos derivados do cacau, de chocolates e confeitos</t>
  </si>
  <si>
    <t>10.94-5 Fabricação de massas alimentícias</t>
  </si>
  <si>
    <t>10.95-3 Fabricação de especiarias, molhos, temperos e condimentos</t>
  </si>
  <si>
    <t>10.96-1 Fabricação de alimentos e pratos prontos</t>
  </si>
  <si>
    <t>10.99-6 Fabricação de produtos alimentícios não especificados anteriormente</t>
  </si>
  <si>
    <t>11 Fabricação de bebidas</t>
  </si>
  <si>
    <t>11.1 Fabricação de bebidas alcoólicas</t>
  </si>
  <si>
    <t>11.11-9 Fabricação de aguardentes e outras bebidas destiladas</t>
  </si>
  <si>
    <t>11.12-7 Fabricação de vinho</t>
  </si>
  <si>
    <t>11.13-5 Fabricação de malte, cervejas e chopes</t>
  </si>
  <si>
    <t>11.2 Fabricação de bebidas não-alcoólicas</t>
  </si>
  <si>
    <t>11.21-6 Fabricação de águas envasadas</t>
  </si>
  <si>
    <t>11.22-4 Fabricação de refrigerantes e de outras bebidas não-alcoólicas</t>
  </si>
  <si>
    <t>12 Fabricação de produtos do fumo</t>
  </si>
  <si>
    <t>12.1 Processamento industrial do fumo</t>
  </si>
  <si>
    <t>12.10-7 Processamento industrial do fumo</t>
  </si>
  <si>
    <t>12.2 Fabricação de produtos do fumo</t>
  </si>
  <si>
    <t>12.20-4 Fabricação de produtos do fumo</t>
  </si>
  <si>
    <t>13 Fabricação de produtos têxteis</t>
  </si>
  <si>
    <t>13.1 Preparação e fiação de fibras têxteis</t>
  </si>
  <si>
    <t>13.11-1 Preparação e fiação de fibras de algodão</t>
  </si>
  <si>
    <t>13.12-0 Preparação e fiação de fibras têxteis naturais, exceto algodão</t>
  </si>
  <si>
    <t>13.13-8 Fiação de fibras artificiais e sintéticas</t>
  </si>
  <si>
    <t>13.14-6 Fabricação de linhas para costurar e bordar</t>
  </si>
  <si>
    <t>13.2 Tecelagem, exceto malha</t>
  </si>
  <si>
    <t>13.21-9 Tecelagem de fios de algodão</t>
  </si>
  <si>
    <t>13.22-7 Tecelagem de fios de fibras têxteis naturais, exceto algodão</t>
  </si>
  <si>
    <t>13.23-5 Tecelagem de fios de fibras artificiais e sintéticas</t>
  </si>
  <si>
    <t>13.3 Fabricação de tecidos de malha</t>
  </si>
  <si>
    <t>13.30-8 Fabricação de tecidos de malha</t>
  </si>
  <si>
    <t>13.4 Acabamentos em fios, tecidos e artefatos têxteis</t>
  </si>
  <si>
    <t>13.40-5 Acabamentos em fios, tecidos e artefatos têxteis</t>
  </si>
  <si>
    <t>13.5 Fabricação de artefatos têxteis, exceto vestuário</t>
  </si>
  <si>
    <t>13.51-1 Fabricação de artefatos têxteis para uso doméstico</t>
  </si>
  <si>
    <t>13.52-9 Fabricação de artefatos de tapeçaria</t>
  </si>
  <si>
    <t>13.53-7 Fabricação de artefatos de cordoaria</t>
  </si>
  <si>
    <t>13.54-5 Fabricação de tecidos especiais, inclusive artefatos</t>
  </si>
  <si>
    <t>13.59-6 Fabricação de outros produtos têxteis não especificados anteriormente</t>
  </si>
  <si>
    <t>14 Confecção de artigos do vestuário e acessórios</t>
  </si>
  <si>
    <t>14.1 Confecção de artigos do vestuário e acessórios</t>
  </si>
  <si>
    <t>14.11-8 Confecção de roupas íntimas</t>
  </si>
  <si>
    <t>14.12-6 Confecção de peças do vestuário, exceto roupas íntimas</t>
  </si>
  <si>
    <t>14.13-4 Confecção de roupas profissionais</t>
  </si>
  <si>
    <t>14.14-2 Fabricação de acessórios do vestuário, exceto para segurança e proteção</t>
  </si>
  <si>
    <t>14.2 Fabricação de artigos de malharia e tricotagem</t>
  </si>
  <si>
    <t>14.21-5 Fabricação de meias</t>
  </si>
  <si>
    <t>14.22-3 Fabricação de artigos do vestuário, produzidos em malharias e tricotagens, exceto meias</t>
  </si>
  <si>
    <t>15 Preparação de couros e fabricação de artefatos de couro, artigos para viagem e calçados</t>
  </si>
  <si>
    <t>15.1 Curtimento e outras preparações de couro</t>
  </si>
  <si>
    <t>15.10-6 Curtimento e outras preparações de couro</t>
  </si>
  <si>
    <t>15.2 Fabricação de artigos para viagem e de artefatos diversos de couro</t>
  </si>
  <si>
    <t>15.21-1 Fabricação de artigos para viagem, bolsas e semelhantes de qualquer material</t>
  </si>
  <si>
    <t>15.29-7 Fabricação de artefatos de couro não especificados anteriormente</t>
  </si>
  <si>
    <t>15.3 Fabricação de calçados</t>
  </si>
  <si>
    <t>15.31-9 Fabricação de calçados de couro</t>
  </si>
  <si>
    <t>15.32-7 Fabricação de tênis de qualquer material</t>
  </si>
  <si>
    <t>15.33-5 Fabricação de calçados de material sintético</t>
  </si>
  <si>
    <t>15.39-4 Fabricação de calçados de materiais não especificados anteriormente</t>
  </si>
  <si>
    <t>15.4 Fabricação de partes para calçados, de qualquer material</t>
  </si>
  <si>
    <t>15.40-8 Fabricação de partes para calçados, de qualquer material</t>
  </si>
  <si>
    <t>16 Fabricação de produtos de madeira</t>
  </si>
  <si>
    <t>16.1 Desdobramento de madeira</t>
  </si>
  <si>
    <t>16.10-2 Desdobramento de madeira</t>
  </si>
  <si>
    <t>16.2 Fabricação de produtos de madeira, cortiça e material trançado, exceto móveis</t>
  </si>
  <si>
    <t>16.21-8 Fabricação de madeira laminada e de chapas de madeira compensada, prensada e aglomerada</t>
  </si>
  <si>
    <t>16.22-6 Fabricação de estruturas de madeira e de artigos de carpintaria para
construção</t>
  </si>
  <si>
    <t>16.23-4 Fabricação de artefatos de tanoaria e de embalagens de madeira</t>
  </si>
  <si>
    <t>16.29-3 Fabricação de artefatos de madeira, palha, cortiça, vime e material trançado não especificados anteriormente, exceto móveis</t>
  </si>
  <si>
    <t>17 Fabricação de celulose, papel e produtos de papel</t>
  </si>
  <si>
    <t>17.1 Fabricação de celulose e outras pastas para a fabricação de papel</t>
  </si>
  <si>
    <t>17.10-9 Fabricação de celulose e outras pastas para a fabricação de papel</t>
  </si>
  <si>
    <t>17.2 Fabricação de papel, cartolina e papel-cartão</t>
  </si>
  <si>
    <t>17.21-4 Fabricação de papel</t>
  </si>
  <si>
    <t>17.22-2 Fabricação de cartolina e papel-cartão</t>
  </si>
  <si>
    <t>17.3 Fabricação de embalagens de papel, cartolina, papel-cartão e papelão ondulado</t>
  </si>
  <si>
    <t>17.31-1 Fabricação de embalagens de papel</t>
  </si>
  <si>
    <t>17.32-0 Fabricação de embalagens de cartolina e papel-cartão</t>
  </si>
  <si>
    <t>17.33-8 Fabricação de chapas e de embalagens de papelão ondulado</t>
  </si>
  <si>
    <t>17.4 Fabricação de produtos diversos de papel, cartolina, papel-cartão e papelão ondulado</t>
  </si>
  <si>
    <t>17.41-9 Fabricação de produtos de papel, cartolina, papel-cartão e papelão ondulado para uso comercial e de escritório</t>
  </si>
  <si>
    <t>17.42-7 Fabricação de produtos de papel para usos doméstico e higiênico-sanitário</t>
  </si>
  <si>
    <t>17.49-4 Fabricação de produtos de pastas celulósicas, papel, cartolina, papel-cartão e papelão ondulado não especificados anteriormente</t>
  </si>
  <si>
    <t>18 Impressão e reprodução de gravações</t>
  </si>
  <si>
    <t>18.1 Atividade de impressão</t>
  </si>
  <si>
    <t>18.11-3 Impressão de jornais, livros, revistas e outras publicações periódicas</t>
  </si>
  <si>
    <t>18.12-1 Impressão de material de segurança</t>
  </si>
  <si>
    <t>18.13-0 Impressão de materiais para outros usos</t>
  </si>
  <si>
    <t>18.2 Serviços de pré-impressão e acabamentos gráficos</t>
  </si>
  <si>
    <t>18.21-1 Serviços de pré-impressão</t>
  </si>
  <si>
    <t>18.22-9 Serviços de acabamentos gráficos</t>
  </si>
  <si>
    <t>18.3 Reprodução de materiais gravados em qualquer suporte</t>
  </si>
  <si>
    <t>18.30-0 Reprodução de materiais gravados em qualquer suporte</t>
  </si>
  <si>
    <t>19 Fabricação de coque, de produtos derivados do petróleo e de biocombustíveis</t>
  </si>
  <si>
    <t>19.1 Coquerias</t>
  </si>
  <si>
    <t>19.10-1 Coquerias</t>
  </si>
  <si>
    <t>19.2 Fabricação de produtos derivados do petróleo</t>
  </si>
  <si>
    <t>19.21-7 Fabricação de produtos do refino de petróleo</t>
  </si>
  <si>
    <t>19.22-5 Fabricação de produtos derivados do petróleo, exceto produtos do refino</t>
  </si>
  <si>
    <t>19.3 Fabricação de biocombustíveis</t>
  </si>
  <si>
    <t>19.31-4 Fabricação de álcool</t>
  </si>
  <si>
    <t>19.32-2 Fabricação de biocombustíveis, exceto álcool</t>
  </si>
  <si>
    <t>20.1 Fabricação de produtos químicos inorgânicos</t>
  </si>
  <si>
    <t>20.11-8 Fabricação de cloro e álcalis</t>
  </si>
  <si>
    <t>20.14-2 Fabricação de gases industriais</t>
  </si>
  <si>
    <t>20.19-3 Fabricação de produtos químicos inorgânicos não especificados anteriormente</t>
  </si>
  <si>
    <t>20.2 Fabricação de produtos químicos orgânicos</t>
  </si>
  <si>
    <t>20.21-5 Fabricação de produtos petroquímicos básicos</t>
  </si>
  <si>
    <t>20.22-3 Fabricação de intermediários para plastificantes, resinas e fibras</t>
  </si>
  <si>
    <t>20.29-1 Fabricação de produtos químicos orgânicos não especificados anteriormente</t>
  </si>
  <si>
    <t>20.3 Fabricação de resinas e elastômeros</t>
  </si>
  <si>
    <t>20.31-2 Fabricação de resinas termoplásticas</t>
  </si>
  <si>
    <t>20.32-1 Fabricação de resinas termofixas</t>
  </si>
  <si>
    <t>20.33-9 Fabricação de elastômeros</t>
  </si>
  <si>
    <t>20.4 Fabricação de fibras artificiais e sintéticas</t>
  </si>
  <si>
    <t>20.40-1 Fabricação de fibras artificiais e sintéticas</t>
  </si>
  <si>
    <t>20.5 Fabricação de defensivos agrícolas e desinfestantes domissanitários</t>
  </si>
  <si>
    <t>20.51-7 Fabricação de defensivos agrícolas</t>
  </si>
  <si>
    <t>20.52-5 Fabricação de desinfestantes domissanitários</t>
  </si>
  <si>
    <t>20.6 Fabricação de sabões, detergentes, produtos de limpeza, cosméticos, produtos de perfumaria e de higiene pessoal</t>
  </si>
  <si>
    <t>20.61-4 Fabricação de sabões e detergentes sintéticos</t>
  </si>
  <si>
    <t>20.62-2 Fabricação de produtos de limpeza e polimento</t>
  </si>
  <si>
    <t>20.63-1 Fabricação de cosméticos, produtos de perfumaria e de higiene pessoal</t>
  </si>
  <si>
    <t>20.7 Fabricação de tintas, vernizes, esmaltes, lacas e produtos afins</t>
  </si>
  <si>
    <t>20.71-1 Fabricação de tintas, vernizes, esmaltes e lacas</t>
  </si>
  <si>
    <t>20.72-0 Fabricação de tintas de impressão</t>
  </si>
  <si>
    <t>20.73-8 Fabricação de impermeabilizantes, solventes e produtos afins</t>
  </si>
  <si>
    <t>20.9 Fabricação de produtos e preparados químicos diversos</t>
  </si>
  <si>
    <t>20.91-6 Fabricação de adesivos e selantes</t>
  </si>
  <si>
    <t>20.92-4 Fabricação de explosivos</t>
  </si>
  <si>
    <t>20.93-2 Fabricação de aditivos de uso industrial</t>
  </si>
  <si>
    <t>20.94-1 Fabricação de catalisadores</t>
  </si>
  <si>
    <t>20.99-1 Fabricação de produtos químicos não especificados anteriormente</t>
  </si>
  <si>
    <t>22 Fabricação de produtos de borracha e de material plástico</t>
  </si>
  <si>
    <t>22.1 Fabricação de produtos de borracha</t>
  </si>
  <si>
    <t>22.11-1 Fabricação de pneumáticos e de câmaras-de-ar</t>
  </si>
  <si>
    <t>22.12-9 Reforma de pneumáticos usados</t>
  </si>
  <si>
    <t>22.19-6 Fabricação de artefatos de borracha não especificados anteriormente</t>
  </si>
  <si>
    <t>22.2 Fabricação de produtos de material plástico</t>
  </si>
  <si>
    <t>22.21-8 Fabricação de laminados planos e tubulares de material plástico</t>
  </si>
  <si>
    <t>22.22-6 Fabricação de embalagens de material plástico</t>
  </si>
  <si>
    <t>22.23-4 Fabricação de tubos e acessórios de material plástico para uso na construção</t>
  </si>
  <si>
    <t>22.29-3 Fabricação de artefatos de material plástico não especificados anteriormente</t>
  </si>
  <si>
    <t>23 Fabricação de produtos de minerais não-metálicos</t>
  </si>
  <si>
    <t>23.1 Fabricação de vidro e de produtos do vidro</t>
  </si>
  <si>
    <t>23.11-7 Fabricação de vidro plano e de segurança</t>
  </si>
  <si>
    <t>23.12-5 Fabricação de embalagens de vidro</t>
  </si>
  <si>
    <t>23.19-2 Fabricação de artigos de vidro</t>
  </si>
  <si>
    <t>23.2 Fabricação de cimento</t>
  </si>
  <si>
    <t>23.20-6 Fabricação de cimento</t>
  </si>
  <si>
    <t>23.3 Fabricação de artefatos de concreto, cimento, fibrocimento, gesso e materiais semelhantes</t>
  </si>
  <si>
    <t>23.30-3 Fabricação de artefatos de concreto, cimento, fibrocimento, gesso e materiais semelhantes</t>
  </si>
  <si>
    <t>23.4 Fabricação de produtos cerâmicos</t>
  </si>
  <si>
    <t>23.41-9 Fabricação de produtos cerâmicos refratários</t>
  </si>
  <si>
    <t>23.42-7 Fabricação de produtos cerâmicos não-refratários para uso estrutural na construção</t>
  </si>
  <si>
    <t>23.49-4 Fabricação de produtos cerâmicos não-refratários não especificados anteriormente</t>
  </si>
  <si>
    <t>23.9 Aparelhamento de pedras e fabricação de outros produtos de minerais não-metálicos</t>
  </si>
  <si>
    <t>23.91-5 Aparelhamento e outros trabalhos em pedras</t>
  </si>
  <si>
    <t>23.92-3 Fabricação de cal e gesso</t>
  </si>
  <si>
    <t>23.99-1 Fabricação de produtos de minerais não-metálicos não especificados anteriormente</t>
  </si>
  <si>
    <t>24 Metalurgia</t>
  </si>
  <si>
    <t>24.1 Produção de ferro-gusa e de ferroligas</t>
  </si>
  <si>
    <t>24.11-3 Produção de ferro-gusa</t>
  </si>
  <si>
    <t>24.12-1 Produção de ferroligas</t>
  </si>
  <si>
    <t>24.2 Siderurgia</t>
  </si>
  <si>
    <t>24.21-1 Produção de semiacabados de aço</t>
  </si>
  <si>
    <t>24.22-9 Produção de laminados planos de aço</t>
  </si>
  <si>
    <t>24.23-7 Produção de laminados longos de aço</t>
  </si>
  <si>
    <t>24.24-5 Produção de relaminados, trefilados e perfilados de aço</t>
  </si>
  <si>
    <t>24.3 Produção de tubos de aço, exceto tubos sem costura</t>
  </si>
  <si>
    <t>24.31-8 Produção de tubos de aço com costura</t>
  </si>
  <si>
    <t>24.39-3 Produção de outros tubos de ferro e aço</t>
  </si>
  <si>
    <t>24.4 Metalurgia dos metais não-ferrosos</t>
  </si>
  <si>
    <t>24.41-5 Metalurgia do alumínio e suas ligas</t>
  </si>
  <si>
    <t>24.42-3 Metalurgia dos metais preciosos</t>
  </si>
  <si>
    <t>24.43-1 Metalurgia do cobre</t>
  </si>
  <si>
    <t>24.49-1 Metalurgia dos metais não-ferrosos e suas ligas não especificados anteriormente</t>
  </si>
  <si>
    <t>24.5 Fundição</t>
  </si>
  <si>
    <t>24.51-2 Fundição de ferro e aço</t>
  </si>
  <si>
    <t>24.52-1 Fundição de metais não-ferrosos e suas ligas</t>
  </si>
  <si>
    <t>25 Fabricação de produtos de metal, exceto máquinas e equipamentos</t>
  </si>
  <si>
    <t>25.1 Fabricação de estruturas metálicas e obras de caldeiraria pesada</t>
  </si>
  <si>
    <t>25.11-0 Fabricação de estruturas metálicas</t>
  </si>
  <si>
    <t>25.12-8 Fabricação de esquadrias de metal</t>
  </si>
  <si>
    <t>25.13-6 Fabricação de obras de caldeiraria pesada</t>
  </si>
  <si>
    <t>25.2 Fabricação de tanques, reservatórios metálicos e caldeiras</t>
  </si>
  <si>
    <t>25.21-7 Fabricação de tanques, reservatórios metálicos e caldeiras para aquecimento central</t>
  </si>
  <si>
    <t>25.22-5 Fabricação de caldeiras geradoras de vapor, exceto para aquecimento central e para veículos</t>
  </si>
  <si>
    <t>25.3 Forjaria, estamparia, metalurgia do pó e serviços de tratamento de metais</t>
  </si>
  <si>
    <t>25.31-4 Produção de forjados de aço e de metais não-ferrosos e suas ligas</t>
  </si>
  <si>
    <t>25.32-2 Produção de artefatos estampados de metal; metalurgia do pó</t>
  </si>
  <si>
    <t>25.39-0 Serviços de usinagem, solda, tratamento e revestimento em metais</t>
  </si>
  <si>
    <t>25.4 Fabricação de artigos de cutelaria, de serralheria e ferramentas</t>
  </si>
  <si>
    <t>25.41-1 Fabricação de artigos de cutelaria</t>
  </si>
  <si>
    <t>25.42-0 Fabricação de artigos de serralheria, exceto esquadrias</t>
  </si>
  <si>
    <t>25.43-8 Fabricação de ferramentas</t>
  </si>
  <si>
    <t>25.5 Fabricação de equipamento bélico pesado, armas de fogo e munições</t>
  </si>
  <si>
    <t>25.50-1 Fabricação de equipamento bélico pesado, armas de fogo e munições</t>
  </si>
  <si>
    <t>25.9 Fabricação de produtos de metal não especificados anteriormente</t>
  </si>
  <si>
    <t>25.91-8 Fabricação de embalagens metálicas</t>
  </si>
  <si>
    <t>25.92-6 Fabricação de produtos de trefilados de metal</t>
  </si>
  <si>
    <t>25.93-4 Fabricação de artigos de metal para uso doméstico e pessoal</t>
  </si>
  <si>
    <t>25.99-3 Fabricação de produtos de metal não especificados anteriormente</t>
  </si>
  <si>
    <t>26.21-3 Fabricação de equipamentos de informática</t>
  </si>
  <si>
    <t>26.22-1 Fabricação de periféricos para equipamentos de informática</t>
  </si>
  <si>
    <t>26.3 Fabricação de equipamentos de comunicação</t>
  </si>
  <si>
    <t>26.31-1 Fabricação de equipamentos transmissores de comunicação</t>
  </si>
  <si>
    <t>26.32-9 Fabricação de aparelhos telefônicos e de outros equipamentos de comunicação</t>
  </si>
  <si>
    <t>26.4 Fabricação de aparelhos de recepção, reprodução, gravação e amplificação de áudio e vídeo</t>
  </si>
  <si>
    <t>26.40-0 Fabricação de aparelhos de recepção, reprodução, gravação e amplificação de áudio e vídeo</t>
  </si>
  <si>
    <t>26.5 Fabricação de aparelhos e instrumentos de medida, teste e controle; cronômetros e relógios</t>
  </si>
  <si>
    <t>26.51-5 Fabricação de aparelhos e equipamentos de medida, teste e controle</t>
  </si>
  <si>
    <t>26.52-3 Fabricação de cronômetros e relógios</t>
  </si>
  <si>
    <t>26.60-4 Fabricação de aparelhos eletromédicos e eletroterapêuticos e equipamentos de irradiação</t>
  </si>
  <si>
    <t>26.7 Fabricação de equipamentos e instrumentos ópticos, fotográficos e cinematográficos</t>
  </si>
  <si>
    <t>26.70-1 Fabricação de equipamentos e instrumentos ópticos, fotográficos e cinematográficos</t>
  </si>
  <si>
    <t>26.8 Fabricação de mídias virgens, magnéticas e ópticas</t>
  </si>
  <si>
    <t>26.80-9 Fabricação de mídias virgens, magnéticas e ópticas</t>
  </si>
  <si>
    <t>27 Fabricação de máquinas, aparelhos e materiais elétricos</t>
  </si>
  <si>
    <t>27.1 Fabricação de geradores, transformadores e motores elétricos</t>
  </si>
  <si>
    <t>27.10-4 Fabricação de geradores, transformadores e motores elétricos</t>
  </si>
  <si>
    <t>27.2 Fabricação de pilhas, baterias e acumuladores elétricos</t>
  </si>
  <si>
    <t>27.21-0 Fabricação de pilhas, baterias e acumuladores elétricos, exceto para veículos automotores</t>
  </si>
  <si>
    <t>27.22-8 Fabricação de baterias e acumuladores para veículos automotores</t>
  </si>
  <si>
    <t>27.3 Fabricação de equipamentos para distribuição e controle de energia elétrica</t>
  </si>
  <si>
    <t>27.31-7 Fabricação de aparelhos e equipamentos para distribuição e controle de energia elétrica</t>
  </si>
  <si>
    <t>27.32-5 Fabricação de material elétrico para instalações em circuito de consumo</t>
  </si>
  <si>
    <t>27.33-3 Fabricação de fios, cabos e condutores elétricos isolados</t>
  </si>
  <si>
    <t>27.4 Fabricação de lâmpadas e outros equipamentos de iluminação</t>
  </si>
  <si>
    <t>27.40-6 Fabricação de lâmpadas e outros equipamentos de iluminação</t>
  </si>
  <si>
    <t>27.5 Fabricação de eletrodomésticos</t>
  </si>
  <si>
    <t>27.51-1 Fabricação de fogões, refrigeradores e máquinas de lavar e secar para uso doméstico</t>
  </si>
  <si>
    <t>27.59-7 Fabricação de aparelhos eletrodomésticos não especificados anteriormente</t>
  </si>
  <si>
    <t>28.1 Fabricação de motores, bombas, compressores e equipamentos de transmissão</t>
  </si>
  <si>
    <t>28.11-9 Fabricação de motores e turbinas, exceto para aviões e veículos rodoviários</t>
  </si>
  <si>
    <t>28.12-7 Fabricação de equipamentos hidráulicos e pneumáticos, exceto válvulas</t>
  </si>
  <si>
    <t>28.13-5 Fabricação de válvulas, registros e dispositivos semelhantes</t>
  </si>
  <si>
    <t>28.14-3 Fabricação de compressores</t>
  </si>
  <si>
    <t>28.15-1 Fabricação de equipamentos de transmissão para fins industriais</t>
  </si>
  <si>
    <t>28.2 Fabricação de máquinas e equipamentos de uso geral</t>
  </si>
  <si>
    <t>28.21-6 Fabricação de aparelhos e equipamentos para instalações térmicas</t>
  </si>
  <si>
    <t>28.23-2 Fabricação de máquinas e aparelhos de refrigeração e ventilação para uso industrial e comercial</t>
  </si>
  <si>
    <t>28.24-1 Fabricação de aparelhos e equipamentos de ar condicionado</t>
  </si>
  <si>
    <t>28.25-9 Fabricação de máquinas e equipamentos para saneamento básico e ambiental</t>
  </si>
  <si>
    <t>28.3 Fabricação de tratores e de máquinas e equipamentos para a agricultura e pecuária</t>
  </si>
  <si>
    <t>28.4 Fabricação de máquinas-ferramenta</t>
  </si>
  <si>
    <t>28.5 Fabricação de máquinas e equipamentos de uso na extração mineral e na construção</t>
  </si>
  <si>
    <t>28.51-8 Fabricação de máquinas e equipamentos para a prospecção e extração de petróleo</t>
  </si>
  <si>
    <t>28.53-4 Fabricação de tratores, exceto agrícolas</t>
  </si>
  <si>
    <t>28.54-2 Fabricação de máquinas e equipamentos para terraplenagem, pavimentação e construção, exceto tratores</t>
  </si>
  <si>
    <t>28.6 Fabricação de máquinas e equipamentos de uso industrial específico</t>
  </si>
  <si>
    <t>28.61-5 Fabricação de máquinas para a indústria metalúrgica, exceto máquinas-ferramenta</t>
  </si>
  <si>
    <t>28.63-1 Fabricação de máquinas e equipamentos para a indústria têxtil</t>
  </si>
  <si>
    <t>28.64-0 Fabricação de máquinas e equipamentos para as indústrias do vestuário, do couro e de calçados</t>
  </si>
  <si>
    <t>28.65-8 Fabricação de máquinas e equipamentos para as indústrias de celulose, papel e papelão e artefatos</t>
  </si>
  <si>
    <t>28.66-6 Fabricação de máquinas e equipamentos para a indústria do plástico</t>
  </si>
  <si>
    <t>29.20-4 Fabricação de caminhões e ônibus</t>
  </si>
  <si>
    <t>29.3 Fabricação de cabines, carrocerias e reboques para veículos automotores</t>
  </si>
  <si>
    <t>29.30-1 Fabricação de cabines, carrocerias e reboques para veículos automotores</t>
  </si>
  <si>
    <t>29.41-7 Fabricação de peças e acessórios para o sistema motor de veículos automotores</t>
  </si>
  <si>
    <t>29.42-5 Fabricação de peças e acessórios para os sistemas de marcha e transmissão de veículos automotores</t>
  </si>
  <si>
    <t>29.43-3 Fabricação de peças e acessórios para o sistema de freios de veículos automotores</t>
  </si>
  <si>
    <t>29.44-1 Fabricação de peças e acessórios para o sistema de direção e suspensão de veículos automotores</t>
  </si>
  <si>
    <t>29.49-2 Fabricação de peças e acessórios para veículos automotores não especificados anteriormente</t>
  </si>
  <si>
    <t>29.50-6 Recondicionamento e recuperação de motores para veículos automotores</t>
  </si>
  <si>
    <t>30.11-3 Construção de embarcações e estruturas flutuantes</t>
  </si>
  <si>
    <t>30.12-1 Construção de embarcações para esporte e lazer</t>
  </si>
  <si>
    <t>30.5 Fabricação de veículos militares de combate</t>
  </si>
  <si>
    <t>30.50-4 Fabricação de veículos militares de combate</t>
  </si>
  <si>
    <t>31 Fabricação de móveis</t>
  </si>
  <si>
    <t>31.0 Fabricação de móveis</t>
  </si>
  <si>
    <t>31.01-2 Fabricação de móveis com predominância de madeira</t>
  </si>
  <si>
    <t>31.02-1 Fabricação de móveis com predominância de metal</t>
  </si>
  <si>
    <t>31.03-9 Fabricação de móveis de outros materiais, exceto madeira e metal</t>
  </si>
  <si>
    <t>31.04-7 Fabricação de colchões</t>
  </si>
  <si>
    <t>32 Fabricação de produtos diversos</t>
  </si>
  <si>
    <t>32.1 Fabricação de artigos de joalheria, bijuteria e semelhantes</t>
  </si>
  <si>
    <t>32.11-6 Lapidação de gemas e fabricação de artefatos de ourivesaria e joalheria</t>
  </si>
  <si>
    <t>32.12-4 Fabricação de bijuterias e artefatos semelhantes</t>
  </si>
  <si>
    <t>32.2 Fabricação de instrumentos musicais</t>
  </si>
  <si>
    <t>32.20-5 Fabricação de instrumentos musicais</t>
  </si>
  <si>
    <t>32.3 Fabricação de artefatos para pesca e esporte</t>
  </si>
  <si>
    <t>32.30-2 Fabricação de artefatos para pesca e esporte</t>
  </si>
  <si>
    <t>32.4 Fabricação de brinquedos e jogos recreativos</t>
  </si>
  <si>
    <t>32.40-0 Fabricação de brinquedos e jogos recreativos</t>
  </si>
  <si>
    <t>32.5 Fabricação de instrumentos e materiais para uso médico e odontológico e de artigos ópticos</t>
  </si>
  <si>
    <t>32.50-7 Fabricação de instrumentos e materiais para uso médico e odontológico e de artigos ópticos</t>
  </si>
  <si>
    <t>32.9 Fabricação de produtos diversos</t>
  </si>
  <si>
    <t>32.91-4 Fabricação de escovas, pincéis e vassouras</t>
  </si>
  <si>
    <t>32.92-2 Fabricação de equipamentos e acessórios para segurança e proteção pessoal e profissional</t>
  </si>
  <si>
    <t>32.99-0 Fabricação de produtos diversos não especificados anteriormente</t>
  </si>
  <si>
    <t>33 Manutenção, reparação e instalação de máquinas e equipamentos</t>
  </si>
  <si>
    <t>33.1 Manutenção e reparação de máquinas e equipamentos</t>
  </si>
  <si>
    <t>33.11-2 Manutenção e reparação de tanques, reservatórios metálicos e caldeiras, exceto para veículos</t>
  </si>
  <si>
    <t>33.12-1 Manutenção e reparação de equipamentos eletrônicos e ópticos</t>
  </si>
  <si>
    <t>33.13-9 Manutenção e reparação de máquinas e equipamentos elétricos</t>
  </si>
  <si>
    <t>33.14-7 Manutenção e reparação de máquinas e equipamentos da indústria mecânica</t>
  </si>
  <si>
    <t>33.15-5 Manutenção e reparação de veículos ferroviários</t>
  </si>
  <si>
    <t>33.16-3 Manutenção e reparação de aeronaves</t>
  </si>
  <si>
    <t>33.17-1 Manutenção e reparação de embarcações</t>
  </si>
  <si>
    <t>33.19-8 Manutenção e reparação de equipamentos e produtos não especificados anteriormente</t>
  </si>
  <si>
    <t>33.2 Instalação de máquinas e equipamentos</t>
  </si>
  <si>
    <t>33.21-0 Instalação de máquinas e equipamentos industriais</t>
  </si>
  <si>
    <t>33.29-5 Instalação de equipamentos não especificados anteriormente</t>
  </si>
  <si>
    <t>Fonte: IBGE - Pesquisa Industrial Anual - Empresa</t>
  </si>
  <si>
    <t>Valor bruto produção</t>
  </si>
  <si>
    <t>Variável - Consumo intermediário - total (Mil Reais)</t>
  </si>
  <si>
    <t>Equipamentos de energia verde</t>
  </si>
  <si>
    <t>Potencial nichos produtivos - M6: Satélites</t>
  </si>
  <si>
    <t>Commodity</t>
  </si>
  <si>
    <t>88 - Aircraft, spacecraft and parts thereof</t>
  </si>
  <si>
    <t>US$</t>
  </si>
  <si>
    <t>8802 - Aircraft n.e.c. in heading no. 8801 (e.g. helicopters, aeroplanes); spacecraft (including satellites) and suborbital and spacecraft launch vehicles</t>
  </si>
  <si>
    <t>880260 - Spacecraft; (including satellites) and suborbital and spacecraft launch vehicles</t>
  </si>
  <si>
    <t>3041.2020 Aviões ou outros veículos aéreos de peso superior a 15.000 kg, vazios</t>
  </si>
  <si>
    <t>3041.2030 Aviões ou outros veículos aéreos de peso superior a 2.000 kg e menor ou igual a 15.000 kg, vazios</t>
  </si>
  <si>
    <t>3041.2040 Aviões ou outros veículos aéreos de peso menor ou igual a 2.000 kg, vazios</t>
  </si>
  <si>
    <t>3041.2050 Balões e dirigíveis; planadores, asas-delta e outros veículos aéreos semelhantes sem propulsão mecânica</t>
  </si>
  <si>
    <t>3041.2060 Helicópteros</t>
  </si>
  <si>
    <t>3041.2080 Veículos espaciais (incluídos os satélites) e seus veículos de lançamento</t>
  </si>
  <si>
    <t>Nicho satélites</t>
  </si>
  <si>
    <t xml:space="preserve">Proporção receita setor fabricação de aeronaves/ nicho satélites </t>
  </si>
  <si>
    <t>Variável - Valor adicionado (Mil Reais)</t>
  </si>
  <si>
    <t>Setor outros equipamentos de transporte</t>
  </si>
  <si>
    <t>2631 Fabricação de equipamentos transmissores de comunicação</t>
  </si>
  <si>
    <t>2631.2130 Transceptores de telecomunicações por satélite</t>
  </si>
  <si>
    <t>2631.2200 Unidade chaveadora de conversor ou de amplificador para telecomunicações por satélite</t>
  </si>
  <si>
    <t>2651 Fabricação de aparelhos e equipamentos de medida, teste e controle</t>
  </si>
  <si>
    <t>2651.2035 Aparelhos de radiodetecção e de radiossondagem (radar), radionavegação (p.ex. GPS) e aparelhos de radiotelecomando</t>
  </si>
  <si>
    <t>2651.2405 Partes e peças para aparelhos de radiodetecção, radiossondagem (radar), radionavegação</t>
  </si>
  <si>
    <t>Proporção valor da produção radar /CNAE 2651</t>
  </si>
  <si>
    <t>Nicho radares</t>
  </si>
  <si>
    <t>Setor eq de informática, produtos eletrônicos e ópticos</t>
  </si>
  <si>
    <t>Potencial nichos produtivos - M5: Aerogeradores</t>
  </si>
  <si>
    <t>Proporção valor da produção aerogeradores /CNAE 2710</t>
  </si>
  <si>
    <t>Nicho aerogeradores</t>
  </si>
  <si>
    <t>Setor Fabricação de máquinas, aparelhos e materiais elétricos</t>
  </si>
  <si>
    <t>2610 Fabricação de componentes eletrônicos</t>
  </si>
  <si>
    <t>2610.2045 Células fotovoltaicas (fotodiodos e células solares) em módulos ou painéis</t>
  </si>
  <si>
    <t>...</t>
  </si>
  <si>
    <t>2710 Fabricação de geradores, transformadores e motores elétricos</t>
  </si>
  <si>
    <t>2710.2078 Grupos eletrogêneos de potência superior a 375 kVA; inclusive os aerogeradores para geração de energia elétrica por fonte eólica</t>
  </si>
  <si>
    <t>Agricultura de precisão (só drones)</t>
  </si>
  <si>
    <t>CNAE 30.41-5: Fabricação de aeronaves</t>
  </si>
  <si>
    <t>HS6: 880621; 880622; 880623; 880624; 880691; 880692; 880693; 880694</t>
  </si>
  <si>
    <t>CNAE 28 Fabricação de máquinas e equipamentos</t>
  </si>
  <si>
    <t xml:space="preserve">Setores </t>
  </si>
  <si>
    <t>Produtos PRODLIST : 2831.2030, 2833.2140, 2833.2145 e 2833.2210</t>
  </si>
  <si>
    <t>CNAE 08.91-6: Extração de minerais para fabricação de adubos, fertilizantes e outros produtos químicos</t>
  </si>
  <si>
    <t xml:space="preserve">NCMs: </t>
  </si>
  <si>
    <t>CNAE 21.1 Fabricação de produtos farmoquímicos</t>
  </si>
  <si>
    <t>NCM 3001-3004</t>
  </si>
  <si>
    <t>CNAE 26 Fabricação de equipamentos de informática, produtos eletrônicos e ópticos</t>
  </si>
  <si>
    <t>NCMS: Equipamentos de imagem
901812,901813,901814,902212,902213,902219,902221,902229,902230,902290
Equipamentos médicos
841920,842119,901110,901120,901180,901190,901811,901819,901820,901850,901890,901910,901920,902000</t>
  </si>
  <si>
    <t>HS6 code: 87035000</t>
  </si>
  <si>
    <t>Ônibus elétricos</t>
  </si>
  <si>
    <t>CNAE 29.20-4: Fabricação de caminhões e ônibus</t>
  </si>
  <si>
    <t>NCMs: 860210 e 8606</t>
  </si>
  <si>
    <t>NCM/HS: 85.41, 85.42, 8523.51</t>
  </si>
  <si>
    <t>NCMs 84287000;85153110;84795000</t>
  </si>
  <si>
    <t>Aerogeradores- HS6 - 850231; Paineis solares - HS6: 854143</t>
  </si>
  <si>
    <t xml:space="preserve">HS6 8802.11, 8802.12, 8802.20, 8802.30, 8802.40, 8806.10, 8806.29 </t>
  </si>
  <si>
    <t xml:space="preserve">HS6 880260 </t>
  </si>
  <si>
    <t>HS6 852610 - Radar apparatus</t>
  </si>
  <si>
    <t>HS6: 280410 (Potencial substituto H2)</t>
  </si>
  <si>
    <t>HS4 code "6810 Articles of cement, concrete or artificial stone, whether or not reinforced"
2606
7609
7604
7606
7601.20
2620.4 + 7602
7603
7608.10
7605.2
7601.10
7605.1
7607.1 + .20
2818.20
7608.20
2601.1
7204
7218 + 7224
7205
7206 + 7207
7609
7604
7606
7601.20
2620.4 + 7602
7603
7608.10
7605.2
7601.10
7605.1
7607.1 + .20
2818.20
7608.20</t>
  </si>
  <si>
    <t>23.2 Fabricação de cimento 24 Metalurgia</t>
  </si>
  <si>
    <t>Nova geração de combustíveis (SAF, diesel verde, biometano)</t>
  </si>
  <si>
    <t>Produtos</t>
  </si>
  <si>
    <t>CNAE 26 Fabricação de equipamentos de informática, produtos eletrônicos e ópticos; 27 Fabricação de máquinas, aparelhos e materiais elétricos</t>
  </si>
  <si>
    <t>Células fotovoltaicas</t>
  </si>
  <si>
    <t>Potencial nichos produtivos - M5: Paineis solares</t>
  </si>
  <si>
    <t xml:space="preserve">Proporção valor da produção células fotovoltaicas/ CNAE 2610 </t>
  </si>
  <si>
    <t>Nicho paineis solares</t>
  </si>
  <si>
    <t>Benchmark cresc. adicional cenário otimista</t>
  </si>
  <si>
    <t>Classificação</t>
  </si>
  <si>
    <t>*limitante range superior: crescimento do nicho não pode ultrapassar crescimento total do setor</t>
  </si>
  <si>
    <t>Cenário moderado</t>
  </si>
  <si>
    <t xml:space="preserve">Crescimento adicional do setor igual a CAGR do quartil inferior do benchmark de países </t>
  </si>
  <si>
    <t xml:space="preserve">Crescimento adicional do setor igual a média do CAGR do benchmark de países </t>
  </si>
  <si>
    <t>Setor mantém a tendência atual (2015-2021) de crescimento</t>
  </si>
  <si>
    <t>Participação</t>
  </si>
  <si>
    <t>VA 2021</t>
  </si>
  <si>
    <t>Projeção de crescimento por nicho</t>
  </si>
  <si>
    <t>Nicho produtivo</t>
  </si>
  <si>
    <t>[O] VA 2030</t>
  </si>
  <si>
    <t>CAGR global no nicho</t>
  </si>
  <si>
    <t>Mapeamento</t>
  </si>
  <si>
    <t>Benchmark cresc. adicional cenário moderado</t>
  </si>
  <si>
    <t>Potencial nichos produtivos - M2: (Bio)fármacos e vacinas</t>
  </si>
  <si>
    <t>CAGR global nicho</t>
  </si>
  <si>
    <t>[P] VA 2030</t>
  </si>
  <si>
    <t>5.3.Paineis solares</t>
  </si>
  <si>
    <t>5.3.Aerogeradores</t>
  </si>
  <si>
    <t>6.1. Satélite</t>
  </si>
  <si>
    <t>Import</t>
  </si>
  <si>
    <t>Export</t>
  </si>
  <si>
    <t>880621 - Unmanned aircraft; for remote-controlled flight only, for other than for carriage of passengers, with the maximum take-off weight of not more than 250g</t>
  </si>
  <si>
    <t>880622 - Unmanned aircraft; for remote-controlled flight only, for other than for carriage of passengers, with the maximum take-off weight of more than 250g but not more than 7kg</t>
  </si>
  <si>
    <t>880623 - Unmanned aircraft; for remote-controlled flight only, for other than for carriage of passengers, with the maximum take-off weight of more than 7kg but not more than 25kg</t>
  </si>
  <si>
    <t>880624 - Unmanned aircraft; for remote-controlled flight only, for other than for carriage of passengers, with the maximum take-off weight of more than 25kg but not more than 150kg</t>
  </si>
  <si>
    <t>880692 - Unmanned aircraft; for other than remote-controlled flight and other than for carriage of passengers with a maximum take-off weight more than 250g but not more than 7kg</t>
  </si>
  <si>
    <t>880693 - Unmanned aircraft; for other than remote-controlled flight and other than for carriage of passengers with a maximum take-off weight more than 7kg but not more than 25kg</t>
  </si>
  <si>
    <t>880694 - Unmanned aircraft; for other than remote-controlled flight and other than for carriage of passengers with a maximum take-off weight more than 25kg but not more than 150kg</t>
  </si>
  <si>
    <t>34.65</t>
  </si>
  <si>
    <t>Proporção valor Aeronaves/ Drones</t>
  </si>
  <si>
    <t>1.1. Agricultura de precisão (drone)</t>
  </si>
  <si>
    <t>V.B.P. nicho 2030</t>
  </si>
  <si>
    <t>[P] VBP 2030</t>
  </si>
  <si>
    <t>[O] VBP 2030</t>
  </si>
  <si>
    <t>Dados nicho produtivo (base PIA-Empresa IBGE)</t>
  </si>
  <si>
    <t>Valor adicionado</t>
  </si>
  <si>
    <t>V.B.P. 2021 USD Mi</t>
  </si>
  <si>
    <t xml:space="preserve">Valores em Mil Reais </t>
  </si>
  <si>
    <t>3.</t>
  </si>
  <si>
    <t>Valor adicional nicho produtivo (base PIA-Empresa IBGE)</t>
  </si>
  <si>
    <t>Valor bruto da produção nicho produtivo (base PIA-Produto IBGE)</t>
  </si>
  <si>
    <t xml:space="preserve">Valores em Milhões USD </t>
  </si>
  <si>
    <t>Valores em Milhões USD, valor presente 2021</t>
  </si>
  <si>
    <t>Fabricação de metroferroviários</t>
  </si>
  <si>
    <t>Valor adicionado nicho produtivo (base PIA-Empresa IBGE)</t>
  </si>
  <si>
    <t>Potencial nichos produtivos - M6: Radares</t>
  </si>
  <si>
    <t>Nicho robos industriais</t>
  </si>
  <si>
    <t>VBP 2021</t>
  </si>
  <si>
    <t>Cenário Básico - Projeções</t>
  </si>
  <si>
    <t>Projeções Anuais</t>
  </si>
  <si>
    <t>PIB</t>
  </si>
  <si>
    <t>PIB nominal (US$ bilhões)</t>
  </si>
  <si>
    <t>Crescimento real (%)</t>
  </si>
  <si>
    <t>R$/US$ (média)</t>
  </si>
  <si>
    <t>Fonte: Tendências Consultoria</t>
  </si>
  <si>
    <t xml:space="preserve">Cres PIB </t>
  </si>
  <si>
    <t>2012-21</t>
  </si>
  <si>
    <t>2015-21</t>
  </si>
  <si>
    <t>Potencial nichos produtivos - M5: Hidrogênio Verde</t>
  </si>
  <si>
    <t>5.4.Hidrogênio Verde</t>
  </si>
  <si>
    <t>Aço verde</t>
  </si>
  <si>
    <t>Fabricação de álcool</t>
  </si>
  <si>
    <t>biocombustíveis, exceto álcool</t>
  </si>
  <si>
    <t>Potencial nichos produtivos - M5: Nova geração de combustíveis</t>
  </si>
  <si>
    <t>Mercado endereçável 2030</t>
  </si>
  <si>
    <t>Com taxa de carbono</t>
  </si>
  <si>
    <t>Sem taxa de carbono</t>
  </si>
  <si>
    <t>% participação do nicho no setor</t>
  </si>
  <si>
    <t>Fabricação de produtos eletrônicos e ópticos</t>
  </si>
  <si>
    <t>4.</t>
  </si>
  <si>
    <t>Value add 2026 (USD Mi)</t>
  </si>
  <si>
    <t>período 2021-26 (anos)</t>
  </si>
  <si>
    <t>período 2026-30 (anos)</t>
  </si>
  <si>
    <t>VBP 2026</t>
  </si>
  <si>
    <t>VA 2026</t>
  </si>
  <si>
    <t>Potencial nichos produtivos - M5: Siderurgia</t>
  </si>
  <si>
    <t xml:space="preserve">Demanda Global </t>
  </si>
  <si>
    <t>Participação %</t>
  </si>
  <si>
    <t>Indústria do aço</t>
  </si>
  <si>
    <t>Nicho aço verde</t>
  </si>
  <si>
    <t>Alumínio</t>
  </si>
  <si>
    <t>Alumínio Verde</t>
  </si>
  <si>
    <t>Indústria do Alumínio</t>
  </si>
  <si>
    <t>Nicho Alumínio verde</t>
  </si>
  <si>
    <t>Alumínio verde</t>
  </si>
  <si>
    <t>Potencial nichos produtivos - M5: Metalurgia Alumínio</t>
  </si>
  <si>
    <t>Cenário momentum case</t>
  </si>
  <si>
    <t>Fórmula</t>
  </si>
  <si>
    <t>Dados</t>
  </si>
  <si>
    <t>Premissas</t>
  </si>
  <si>
    <t>Resultados</t>
  </si>
  <si>
    <t>Células:</t>
  </si>
  <si>
    <t>Comentários</t>
  </si>
  <si>
    <t>1. Potencial de crescimento dos setores econômicos</t>
  </si>
  <si>
    <t>O período analisado 2015-2021 foi estabelecido devido à disponibilidade de dados globais e nacionais para a análise. Na PIA-Empresa, por ex, os dados são a partir de 2016 devido à mudança metodológica da classificação CNAE 2.0 neste ano</t>
  </si>
  <si>
    <t>Comentários sobre racional e justificativas</t>
  </si>
  <si>
    <t>2. Tradução de Setor econômico para Nicho produtivo no Brasil</t>
  </si>
  <si>
    <t>Detalhamento de etapas e premissas</t>
  </si>
  <si>
    <t>Visão Geral</t>
  </si>
  <si>
    <t>3. Impactos em geração de empregos</t>
  </si>
  <si>
    <t>Objetivo</t>
  </si>
  <si>
    <t xml:space="preserve">- Delinear potenciais de crescimento em Valor Adicionado (VA) e Valor Bruto de Produção (VBP) dos nichos selecionados a partir do potencial de crescimento factível dos setores no Brasil </t>
  </si>
  <si>
    <t>-Estimar empregos adicionais gerados nos diferentes cenários de crescimento estimado dos nichos selecionados</t>
  </si>
  <si>
    <t>Classificação do nicho</t>
  </si>
  <si>
    <t>Nicho representativo</t>
  </si>
  <si>
    <t>Nicho não-representativo</t>
  </si>
  <si>
    <t>Nicho cresce em V.A. na mesma velocidade que o setor poderia crescer no momentum case, mantendo % de participação</t>
  </si>
  <si>
    <t>Cresc. adicional factível para o Brasil (p.p.)</t>
  </si>
  <si>
    <t>A base global IHS (ISIC Rev. 4) permite comparação setorial entre países, a base nacional do IBGE (CNAE 2.0) permite aprofundar os nichos dentro dos setores de forma mais granular. Considera-se que a delta de diferença entre as bases é mantido ao longo do tempo, portanto, é possível comparação do acréscimo de crescimento factível em pontos percentuais entre as mesmas.</t>
  </si>
  <si>
    <r>
      <t xml:space="preserve">Para nichos pouco representativos  (nicho com participação </t>
    </r>
    <r>
      <rPr>
        <sz val="10.9"/>
        <color rgb="FF000000"/>
        <rFont val="Calibri"/>
        <family val="2"/>
      </rPr>
      <t xml:space="preserve">menor que 5% </t>
    </r>
    <r>
      <rPr>
        <sz val="11"/>
        <color rgb="FF000000"/>
        <rFont val="Calibri"/>
        <family val="2"/>
      </rPr>
      <t xml:space="preserve">no setor): nicho pode crescer em V.A. com velocidade similar ao crescimento do mercado global do nicho, conforme projeções de crescimento de mercado global para 2030 obtidas no mapeamento  </t>
    </r>
  </si>
  <si>
    <r>
      <rPr>
        <b/>
        <sz val="11"/>
        <color theme="1"/>
        <rFont val="Calibri"/>
        <family val="2"/>
      </rPr>
      <t>V.B.P. cresce na mesma velocidade que o V.A</t>
    </r>
    <r>
      <rPr>
        <sz val="11"/>
        <color theme="1"/>
        <rFont val="Calibri"/>
        <family val="2"/>
      </rPr>
      <t>., assumindo que o consumo intermediário também irá crescer nessa mesma velocidade</t>
    </r>
  </si>
  <si>
    <r>
      <rPr>
        <b/>
        <sz val="11"/>
        <color theme="1"/>
        <rFont val="Calibri"/>
        <family val="2"/>
      </rPr>
      <t>Os multiplicadores dos nichos são equivalentes aos multiplicadores dos setore</t>
    </r>
    <r>
      <rPr>
        <sz val="11"/>
        <color theme="1"/>
        <rFont val="Calibri"/>
        <family val="2"/>
      </rPr>
      <t>s das contas nacionais nos quais eles estão inseridos, com ajustes eventuais de classificação para nichos específicos realizados mediante análise da equipe:</t>
    </r>
  </si>
  <si>
    <t>Cenário momentum case até 2026</t>
  </si>
  <si>
    <t>Cenário momentum case 2026-30</t>
  </si>
  <si>
    <t>Cenário moderado 2026-30</t>
  </si>
  <si>
    <t>Cenário otimista 2026-30</t>
  </si>
  <si>
    <t>Tendência momentum case</t>
  </si>
  <si>
    <t>VA nicho 2026</t>
  </si>
  <si>
    <t>VBP nicho 2026</t>
  </si>
  <si>
    <t>Nicho cresce em V.A. na mesma velocidade que o setor poderia crescer no cenário moderado, mantendo % de participação</t>
  </si>
  <si>
    <t>Tendência cenário moderado</t>
  </si>
  <si>
    <t>Tendência CAGR global</t>
  </si>
  <si>
    <t>Output:</t>
  </si>
  <si>
    <t>Valores em Milhões BRL, valor presente 2021</t>
  </si>
  <si>
    <t>R$/US$ médio 2021</t>
  </si>
  <si>
    <t>Crescimento adicional do setor "outros transportes" cenário moderado</t>
  </si>
  <si>
    <t>Crescimento adicional do setor "outros transportes" cenário otimista</t>
  </si>
  <si>
    <t>V.B.P. nicho 2026 (USD Mi)</t>
  </si>
  <si>
    <t>V.B.P. nicho 2030 (USD Mi)</t>
  </si>
  <si>
    <t>Período de Latência (2021-2026)</t>
  </si>
  <si>
    <t>Período de latência (2021-2026)</t>
  </si>
  <si>
    <t>Cenários de crescimento estimado de VA e VBP para nicho produtivo</t>
  </si>
  <si>
    <t>períodode latência 2021-26 (anos)</t>
  </si>
  <si>
    <t>período de crescimento 2026-30 (anos)</t>
  </si>
  <si>
    <t>VA nicho 2030 (USD Mi)</t>
  </si>
  <si>
    <t>VBP nicho 2030 (USD Mi)</t>
  </si>
  <si>
    <t>Nicho cresce em V.A. na mesma velocidade que o setor poderia crescer no cenário otimista, mantendo % de participação ou crescendo CAGR global</t>
  </si>
  <si>
    <t>Crescimento adicional do setor "fármacos" cenário moderado</t>
  </si>
  <si>
    <t>Crescimento adicional do setor "fármacos" cenário otimista</t>
  </si>
  <si>
    <t>Crescimento adicional do setor "eletrônicos" cenário moderado</t>
  </si>
  <si>
    <t>Crescimento adicional do setor "eletrônicos" cenário otimista</t>
  </si>
  <si>
    <t>Crescimento adicional do setor "máquinas e equipamentos" cenário moderado</t>
  </si>
  <si>
    <t>Crescimento adicional do setor "máquinas e equipamentos" cenário otimista</t>
  </si>
  <si>
    <t>Potencial de crescimento dos setores economicos</t>
  </si>
  <si>
    <t>Var. Média global</t>
  </si>
  <si>
    <t>CAGR média global</t>
  </si>
  <si>
    <t>Var. Valor máximo</t>
  </si>
  <si>
    <t>CAGR valor max</t>
  </si>
  <si>
    <t>Var. Quartil inferior</t>
  </si>
  <si>
    <t>Cresc. Adicional Moderado</t>
  </si>
  <si>
    <t>Cresc. Adicional Otimista</t>
  </si>
  <si>
    <t>Value add 2030 (USD Mi)</t>
  </si>
  <si>
    <t>[P] VA 2033</t>
  </si>
  <si>
    <t>[P] VBP 2033</t>
  </si>
  <si>
    <t>USD 2019-21</t>
  </si>
  <si>
    <t>correção USD 19-21</t>
  </si>
  <si>
    <t>2019 corrigido</t>
  </si>
  <si>
    <t>Value add 2033 (USD Mi)</t>
  </si>
  <si>
    <t>V.B.P. nicho 2033 (USD Mi)</t>
  </si>
  <si>
    <t>A. Crescimento adicional com base em benchmark 10 países pares em value added</t>
  </si>
  <si>
    <t>CAGR quartil inferior</t>
  </si>
  <si>
    <t>China</t>
  </si>
  <si>
    <t>Cresc. Adicional média global</t>
  </si>
  <si>
    <t>Cresc. Adicional valor máx</t>
  </si>
  <si>
    <t>Cresc. Adicional quartil inferior</t>
  </si>
  <si>
    <t>Cresc. Adicional maior complexidade</t>
  </si>
  <si>
    <t>Considera crescimento flat no período</t>
  </si>
  <si>
    <t>Crescimento adicional do setor "maquinário" cenário moderado</t>
  </si>
  <si>
    <t>Crescimento adicional do setor "maquinário" cenário otimista</t>
  </si>
  <si>
    <t>Crescimento adicional do setor "químicos" cenário moderado</t>
  </si>
  <si>
    <t>Crescimento adicional do setor "químicos" cenário otimista</t>
  </si>
  <si>
    <t>Tendência cenário otimista</t>
  </si>
  <si>
    <t>Crescimento adicional do setor "eletrônico" cenário moderado</t>
  </si>
  <si>
    <t>Crescimento adicional do setor "eletrônico" cenário otimista</t>
  </si>
  <si>
    <t>B. Crescimento com base na média global</t>
  </si>
  <si>
    <t>VA 2030</t>
  </si>
  <si>
    <t>VBP 2030</t>
  </si>
  <si>
    <t>VA 2033</t>
  </si>
  <si>
    <t>VBP 2033</t>
  </si>
  <si>
    <t>https://www.officialdata.org/us/inflation/2021?endYear=2015&amp;amount=1</t>
  </si>
  <si>
    <t>deflação</t>
  </si>
  <si>
    <t>correção USD 2021- 2015</t>
  </si>
  <si>
    <t>PIB País 2015</t>
  </si>
  <si>
    <t>PIB País 2021</t>
  </si>
  <si>
    <t>Setor/PIB 2015</t>
  </si>
  <si>
    <t>Setor/PIB 2021</t>
  </si>
  <si>
    <t>cresc. Particição setor/PIB</t>
  </si>
  <si>
    <t>Aux concatenado setor e país</t>
  </si>
  <si>
    <t>Benchmark crescimento participação setor/PIB</t>
  </si>
  <si>
    <t>Food</t>
  </si>
  <si>
    <t>%  aço verde / demanda total aço em 2030</t>
  </si>
  <si>
    <t>%  aço verde / demanda total aço em 2021</t>
  </si>
  <si>
    <t>VA indústria do aço 2030 (USD Mi)</t>
  </si>
  <si>
    <t>VA Industria do aço</t>
  </si>
  <si>
    <t>VBP indústria do aço 2030 (USD Mi)</t>
  </si>
  <si>
    <t>VBP Industria do aço</t>
  </si>
  <si>
    <t>Brasil atende mercado endereçável interno, num cenário sem taxa de carbono</t>
  </si>
  <si>
    <t>Brasil atende mercado endereçável interno e externo, num cenário sem taxa de carbono</t>
  </si>
  <si>
    <t>Brasil atende mercado endereçável interno e externo, num cenário acelerado devido à taxa de carbono</t>
  </si>
  <si>
    <t>Valor Bruto da Produção equivale ao valor do mercado endereçável de Hidrogênio verde</t>
  </si>
  <si>
    <t>Cenário tendência atual</t>
  </si>
  <si>
    <t>Cenário com crescimento adicional</t>
  </si>
  <si>
    <t>[O] VA 2033</t>
  </si>
  <si>
    <t>[O] VBP 2033</t>
  </si>
  <si>
    <t>5.1.Biocombustíveis</t>
  </si>
  <si>
    <t>5.2.Descarb Siderurgia</t>
  </si>
  <si>
    <t>Valor Bruto da Produção 2033</t>
  </si>
  <si>
    <t>Tendência atual (2026)</t>
  </si>
  <si>
    <t>Cenário Crescimento adicional (2033)</t>
  </si>
  <si>
    <t>Cenário Tendência atual (2033)</t>
  </si>
  <si>
    <t>Indicator Name</t>
  </si>
  <si>
    <t>Gross Domestic Product (GDP), Real (US Dollar)</t>
  </si>
  <si>
    <t>Million 2019 US Dollar</t>
  </si>
  <si>
    <t>IHS Markit</t>
  </si>
  <si>
    <t>https://economics.mckinsey.com/tefveqd/comparative-industry-service-cis-isic-revision-4-annual</t>
  </si>
  <si>
    <t>Value added 2015</t>
  </si>
  <si>
    <t>Value added 2021</t>
  </si>
  <si>
    <t>GDP 2015</t>
  </si>
  <si>
    <t>GDP 2021</t>
  </si>
  <si>
    <t>Chemicals</t>
  </si>
  <si>
    <t>Basic metals</t>
  </si>
  <si>
    <t>Motor Vehicles</t>
  </si>
  <si>
    <t>Machinery</t>
  </si>
  <si>
    <t>Eletrical</t>
  </si>
  <si>
    <t>Pharma</t>
  </si>
  <si>
    <t>Other transport</t>
  </si>
  <si>
    <t>Eletronic</t>
  </si>
  <si>
    <t>Proporção Demanda Al Verde/ Al 2030</t>
  </si>
  <si>
    <t>VA Industria do alumínio</t>
  </si>
  <si>
    <t>VBP Industria do alumpinio</t>
  </si>
  <si>
    <t>Proporção Demanda Al Verde/ Al 2021</t>
  </si>
  <si>
    <t>VA indústria do alumínio 2030 (USD Mi)</t>
  </si>
  <si>
    <t>VBP indústria do alumínio 2030 (USD Mi)</t>
  </si>
  <si>
    <t>5.2.Descarb Alumínio</t>
  </si>
  <si>
    <t>cresc. Participação setor/PIB</t>
  </si>
  <si>
    <t>A. Crescimento com base no benchmark dos top 10 países pares ao Brasil que cresceram em value added</t>
  </si>
  <si>
    <t>C. Crescimento com base benchmark de país com valor máx de cresc.</t>
  </si>
  <si>
    <t>D. Crescimento equivalente ao quartil inferior global</t>
  </si>
  <si>
    <t>F. Crescimento com base na evolução setor/PIB</t>
  </si>
  <si>
    <t>Valor Adicionado 2033</t>
  </si>
  <si>
    <t>Cresc. Médio</t>
  </si>
  <si>
    <t>Indústria do Cimento</t>
  </si>
  <si>
    <t>Nicho cimento verde</t>
  </si>
  <si>
    <t>Cimento verde</t>
  </si>
  <si>
    <t>Potencial nichos produtivos - M5: Indústria Cimento</t>
  </si>
  <si>
    <t>PIB BR 2030</t>
  </si>
  <si>
    <t>Setor PIB BR 2030</t>
  </si>
  <si>
    <t>VA setor 2030</t>
  </si>
  <si>
    <t>VA setor 2026</t>
  </si>
  <si>
    <t>Setor PIB BR 2033</t>
  </si>
  <si>
    <t>VA setor 2021</t>
  </si>
  <si>
    <t>CAGR Setor/PIB</t>
  </si>
  <si>
    <t>Proporção Demanda Cimento Verde/ Cimento 2021</t>
  </si>
  <si>
    <t>Proporção Demanda Cimento Verde/ Cimento 2030</t>
  </si>
  <si>
    <t>Valor Bruto da Produção 2033 (Mi BRL 2021)</t>
  </si>
  <si>
    <t>Valor Adicionado 2033 (Mi BRL 2021)</t>
  </si>
  <si>
    <t>PIB Brasil 2021</t>
  </si>
  <si>
    <t>Considera que o cimento produzido no Brasil já é verde</t>
  </si>
  <si>
    <t>Nicho considera fármacos também, não só biofármacos (assim como o considerado no mapeamento)</t>
  </si>
  <si>
    <t>Crescimento outlier em 21, efeito provável da produção reprimida devido a evento de Brumadinho em 2019
Considera-se média 19-21</t>
  </si>
  <si>
    <t>V.B.P. nicho 2033</t>
  </si>
  <si>
    <t>Cenário pessimista</t>
  </si>
  <si>
    <t>5.3.Descarb Cimento</t>
  </si>
  <si>
    <t>Fonte: McKinsey Steel Demand Model</t>
  </si>
  <si>
    <t>Mercado interno 2030</t>
  </si>
  <si>
    <t>Mercado externo 2030</t>
  </si>
  <si>
    <t>Mercado interno 2033</t>
  </si>
  <si>
    <t>Mercado externo 2035</t>
  </si>
  <si>
    <t>Mercado externo 2033</t>
  </si>
  <si>
    <t>Cenario Benchmark valor adicionado</t>
  </si>
  <si>
    <t>- Estimar potenciais de crescimento factíveis para setores chave da indústria de transformação considerando crescimento percorrido por outros países no período analisado</t>
  </si>
  <si>
    <r>
      <t>Legenda (</t>
    </r>
    <r>
      <rPr>
        <b/>
        <i/>
        <sz val="11"/>
        <color theme="0"/>
        <rFont val="Calibri"/>
        <family val="2"/>
      </rPr>
      <t>color code</t>
    </r>
    <r>
      <rPr>
        <b/>
        <sz val="11"/>
        <color theme="0"/>
        <rFont val="Calibri"/>
        <family val="2"/>
        <scheme val="minor"/>
      </rPr>
      <t>)</t>
    </r>
  </si>
  <si>
    <r>
      <t xml:space="preserve">Consideramos 6 </t>
    </r>
    <r>
      <rPr>
        <b/>
        <sz val="11"/>
        <color theme="1"/>
        <rFont val="Calibri"/>
        <family val="2"/>
      </rPr>
      <t>cenários</t>
    </r>
    <r>
      <rPr>
        <sz val="11"/>
        <color theme="1"/>
        <rFont val="Calibri"/>
        <family val="2"/>
      </rPr>
      <t xml:space="preserve"> para identificar potencial adicional de crescimento factível do setor:</t>
    </r>
  </si>
  <si>
    <r>
      <t>Setor brasileiro consegue atingir adicional de crescimento para se equiparar ao país que atingiu a</t>
    </r>
    <r>
      <rPr>
        <b/>
        <sz val="11"/>
        <color theme="1"/>
        <rFont val="Calibri"/>
        <family val="2"/>
      </rPr>
      <t xml:space="preserve"> maior taxa de crescimento</t>
    </r>
    <r>
      <rPr>
        <sz val="11"/>
        <color theme="1"/>
        <rFont val="Calibri"/>
        <family val="2"/>
      </rPr>
      <t xml:space="preserve"> no setor no período analisado</t>
    </r>
  </si>
  <si>
    <t>Nicho cresce em V.A. na mesma velocidade de crescimento do setor calculada para o cenário A, mantendo % de participação</t>
  </si>
  <si>
    <t>Nicho cresce em V.A. na mesma velocidade de crescimento do setor calculada para o cenário B, mantendo % de participação</t>
  </si>
  <si>
    <t>Nicho cresce em V.A. na mesma velocidade de crescimento do setor calculada para o cenário C, mantendo % de participação</t>
  </si>
  <si>
    <r>
      <t xml:space="preserve">Para nichos representativos (nicho com participação </t>
    </r>
    <r>
      <rPr>
        <sz val="10.9"/>
        <color rgb="FF000000"/>
        <rFont val="Calibri"/>
        <family val="2"/>
      </rPr>
      <t xml:space="preserve">maior que 5% </t>
    </r>
    <r>
      <rPr>
        <sz val="11"/>
        <color rgb="FF000000"/>
        <rFont val="Calibri"/>
        <family val="2"/>
      </rPr>
      <t>no setor): nicho cresce em V.A. na mesma velocidade que o setor poderia crescer , mantendo % de participação</t>
    </r>
  </si>
  <si>
    <t>Conjunto de países que conseguiram aumentar o valor adicionado do setor saindo de um patamar de desenvolvimento próximo ao Brasil constituem referência de crescimento viável para setor (cenário A)</t>
  </si>
  <si>
    <r>
      <t>Projeção de mercado do H2V para 2030</t>
    </r>
    <r>
      <rPr>
        <sz val="10"/>
        <rFont val="Calibri"/>
        <family val="2"/>
      </rPr>
      <t xml:space="preserve"> </t>
    </r>
    <r>
      <rPr>
        <i/>
        <sz val="9"/>
        <rFont val="Calibri"/>
        <family val="2"/>
      </rPr>
      <t>(Fonte: The green hidden gem – Brazil’s opportunity to become a sustainability powerhouse)</t>
    </r>
  </si>
  <si>
    <r>
      <t>Tempo de maturação de investimento e alterações regulatórias para início do impacto igual a 2 anos. Logo, considera-se que de 2021 a 2026 os setores evoluem no tempo mantendo o a taxa de crescimento atual, num período de latência.</t>
    </r>
    <r>
      <rPr>
        <b/>
        <sz val="11.45"/>
        <color rgb="FF000000"/>
        <rFont val="Calibri"/>
        <family val="2"/>
      </rPr>
      <t xml:space="preserve"> A partir de 2026, são desencadeados os respectivos crescimentos adicionais nos nichos.</t>
    </r>
  </si>
  <si>
    <r>
      <t>A proporção d</t>
    </r>
    <r>
      <rPr>
        <b/>
        <sz val="11"/>
        <color rgb="FF000000"/>
        <rFont val="Calibri"/>
        <family val="2"/>
        <scheme val="minor"/>
      </rPr>
      <t xml:space="preserve">e valor adicionado </t>
    </r>
    <r>
      <rPr>
        <b/>
        <sz val="11.45"/>
        <color rgb="FF000000"/>
        <rFont val="Calibri"/>
        <family val="2"/>
      </rPr>
      <t xml:space="preserve">produto/ valor adicionado </t>
    </r>
    <r>
      <rPr>
        <b/>
        <sz val="11"/>
        <color rgb="FF000000"/>
        <rFont val="Calibri"/>
        <family val="2"/>
        <scheme val="minor"/>
      </rPr>
      <t xml:space="preserve">setor </t>
    </r>
    <r>
      <rPr>
        <sz val="11"/>
        <color rgb="FF000000"/>
        <rFont val="Calibri"/>
        <family val="2"/>
        <scheme val="minor"/>
      </rPr>
      <t xml:space="preserve">(PIA – Empresa) é equivalente a proporção de </t>
    </r>
    <r>
      <rPr>
        <b/>
        <sz val="11"/>
        <color rgb="FF000000"/>
        <rFont val="Calibri"/>
        <family val="2"/>
        <scheme val="minor"/>
      </rPr>
      <t>receita do produto/ receita setor</t>
    </r>
    <r>
      <rPr>
        <sz val="11"/>
        <color rgb="FF000000"/>
        <rFont val="Calibri"/>
        <family val="2"/>
        <scheme val="minor"/>
      </rPr>
      <t xml:space="preserve"> (PIA – Produto)</t>
    </r>
  </si>
  <si>
    <t>Cenário Momentum case</t>
  </si>
  <si>
    <t>Cenário B: Crescimento de pares em valor adicionado</t>
  </si>
  <si>
    <t>Cenário C: Crescimento média global</t>
  </si>
  <si>
    <t>Cenário D:  Crescimento similar a maior crescimento global</t>
  </si>
  <si>
    <t>Cenário E: Crescimento quartil inferior global</t>
  </si>
  <si>
    <t>Cenário A: Crescimento estrutural do setor no PIB</t>
  </si>
  <si>
    <t>B. Crescimento adicional com base em benchmark 10 países pares em value added</t>
  </si>
  <si>
    <r>
      <t xml:space="preserve">Setor brasileiro consegue atingir adicional de crescimento corresponente à </t>
    </r>
    <r>
      <rPr>
        <b/>
        <sz val="11"/>
        <color theme="1"/>
        <rFont val="Calibri"/>
        <family val="2"/>
      </rPr>
      <t>média do crescimento atingido por países pares</t>
    </r>
    <r>
      <rPr>
        <sz val="11"/>
        <color theme="1"/>
        <rFont val="Calibri"/>
        <family val="2"/>
      </rPr>
      <t>, que saíram de patamar de valor adicionado próximo ao Brasil e conseguiram crescer no período analisado</t>
    </r>
  </si>
  <si>
    <r>
      <t xml:space="preserve">Setor brasileiro consegue atingir adicional de crescimento para se equiparar à </t>
    </r>
    <r>
      <rPr>
        <b/>
        <sz val="11"/>
        <color theme="1"/>
        <rFont val="Calibri"/>
        <family val="2"/>
      </rPr>
      <t xml:space="preserve">taxa média de crescimento mundial </t>
    </r>
    <r>
      <rPr>
        <sz val="11"/>
        <color theme="1"/>
        <rFont val="Calibri"/>
        <family val="2"/>
      </rPr>
      <t xml:space="preserve">do setor em valor adicionado </t>
    </r>
  </si>
  <si>
    <r>
      <t xml:space="preserve">Setor brasileiro consegue atingir adicional de crescimento para se equiparar ao </t>
    </r>
    <r>
      <rPr>
        <b/>
        <sz val="11"/>
        <color theme="1"/>
        <rFont val="Calibri"/>
        <family val="2"/>
      </rPr>
      <t xml:space="preserve">quartil inferior </t>
    </r>
    <r>
      <rPr>
        <sz val="11"/>
        <color theme="1"/>
        <rFont val="Calibri"/>
        <family val="2"/>
      </rPr>
      <t>dos crescimentos mundiais</t>
    </r>
  </si>
  <si>
    <r>
      <t xml:space="preserve">Nicho cresce em V.A. com velocidade similar ao </t>
    </r>
    <r>
      <rPr>
        <b/>
        <sz val="11"/>
        <color theme="1"/>
        <rFont val="Calibri"/>
        <family val="2"/>
      </rPr>
      <t>crescimento do mercado global do nicho</t>
    </r>
    <r>
      <rPr>
        <sz val="11"/>
        <color theme="1"/>
        <rFont val="Calibri"/>
        <family val="2"/>
      </rPr>
      <t xml:space="preserve">, conforme projeções do mercado global para 2030 obtidas no mapeamento </t>
    </r>
  </si>
  <si>
    <t>Relação setor-nicho nos 6 cenários:</t>
  </si>
  <si>
    <t>Multiplicador de efeito do impacto de Valor Bruto da Produção em Valor adicionado</t>
  </si>
  <si>
    <t>Fonte: McKinsey Global Institute</t>
  </si>
  <si>
    <t>V.A. nicho 2030</t>
  </si>
  <si>
    <t>V.A. nicho 2033</t>
  </si>
  <si>
    <t xml:space="preserve"> A: Crescimento estrutural do setor no PIB</t>
  </si>
  <si>
    <t>B: Crescimento de pares em valor adicionado</t>
  </si>
  <si>
    <t xml:space="preserve"> C: Crescimento média global</t>
  </si>
  <si>
    <t>D:  Crescimento similar a maior crescimento global</t>
  </si>
  <si>
    <t xml:space="preserve"> E: Crescimento quartil inferior global</t>
  </si>
  <si>
    <t>Status 2021</t>
  </si>
  <si>
    <t>PIB Industria de transformação 2021</t>
  </si>
  <si>
    <t>PIB Brasil 2033</t>
  </si>
  <si>
    <t>PIB Industria de transformação 2033</t>
  </si>
  <si>
    <t>CAGR PIB 21-33</t>
  </si>
  <si>
    <t>Setores que apresentaram CAGR negativo de acordo com dados da PIA-Empresa no período analisado tiveram seu valor adicionado considerado constante, ou seja, o CAGR base foi igualado a zero. - Foi o caso dos setores "outros transportes" = -0,7%  (2016-19) e "fármacos" =-0,03%</t>
  </si>
  <si>
    <t>Para os nichos de Hidrogênio Verde e Descarbonização de Indústrias de base, foram consideradas premissas específicas de cálculo: Hidrogênio Verde - VBP equivalente ao mercado projetado para o nicho.  Descarbonização - Projeções de substituição dos produtos tradicionais por produtos "verdes".</t>
  </si>
  <si>
    <t>Setores seguem tendência atual de crescimento</t>
  </si>
  <si>
    <t>Check participação maior que BR</t>
  </si>
  <si>
    <r>
      <t xml:space="preserve">Setor brasileiro consegue atingir </t>
    </r>
    <r>
      <rPr>
        <b/>
        <sz val="11"/>
        <color theme="1"/>
        <rFont val="Calibri"/>
        <family val="2"/>
      </rPr>
      <t>crescimento de participação no PIB em 2030 igual à média dos 10 países que mais cresceram em participação do setor no PIB</t>
    </r>
    <r>
      <rPr>
        <sz val="11"/>
        <color theme="1"/>
        <rFont val="Calibri"/>
        <family val="2"/>
      </rPr>
      <t xml:space="preserve"> no período analisado (filtrando apenas países que com ratio Setor/PIB maior que Brasil)</t>
    </r>
  </si>
  <si>
    <t>Produção</t>
  </si>
  <si>
    <t>Remunerações</t>
  </si>
  <si>
    <t>Remunerações Ajustado</t>
  </si>
  <si>
    <t>Impostos</t>
  </si>
  <si>
    <t>Ocupações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</si>
  <si>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</si>
  <si>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</si>
  <si>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</si>
  <si>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 metálicos</t>
  </si>
  <si>
    <t>Extração de petróleo e gás, inclusive as atividades de apoio</t>
  </si>
  <si>
    <t>Extração de minério de ferro, inclusive beneficiamentos e a aglomeração</t>
  </si>
  <si>
    <t>Extração de minerais metálicos não 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</si>
  <si>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</si>
  <si>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</si>
  <si>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</si>
  <si>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</si>
  <si>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</si>
  <si>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</si>
  <si>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</si>
  <si>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</si>
  <si>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</si>
  <si>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</si>
  <si>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</si>
  <si>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</si>
  <si>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</si>
  <si>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</si>
  <si>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</si>
  <si>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</si>
  <si>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</si>
  <si>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</si>
  <si>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</si>
  <si>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 ferosos e a fundição de metais</t>
  </si>
  <si>
    <t>Fabricação de produtos de metal, exceto máquinas e equipamentos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</si>
  <si>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</si>
  <si>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</si>
  <si>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</si>
  <si>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</si>
  <si>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</si>
  <si>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</si>
  <si>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</si>
  <si>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</si>
  <si>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</si>
  <si>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</si>
  <si>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por atacado e varejo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</si>
  <si>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</si>
  <si>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</si>
  <si>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</si>
  <si>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</si>
  <si>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</si>
  <si>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</si>
  <si>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</si>
  <si>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</si>
  <si>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</si>
  <si>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</si>
  <si>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</si>
  <si>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</si>
  <si>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</si>
  <si>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</si>
  <si>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</si>
  <si>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 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</si>
  <si>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</si>
  <si>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</si>
  <si>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</si>
  <si>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</si>
  <si>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</si>
  <si>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</si>
  <si>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</si>
  <si>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</si>
  <si>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</si>
  <si>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</si>
  <si>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Multiplicadores</t>
  </si>
  <si>
    <t>Produção Total</t>
  </si>
  <si>
    <t>Remuneração Total</t>
  </si>
  <si>
    <t>Remuneração total 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</si>
</sst>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%"/>
    <numFmt numFmtId="166" formatCode="0.000%"/>
    <numFmt numFmtId="167" formatCode="0.000000%"/>
    <numFmt numFmtId="168" formatCode="_([$$-409]* #,##0.00_);_([$$-409]* \(#,##0.00\);_([$$-409]* &quot;-&quot;??_);_(@_)"/>
    <numFmt numFmtId="169" formatCode="#.00;\-#.00;0.00;@"/>
    <numFmt numFmtId="170" formatCode="#,##0.0"/>
    <numFmt numFmtId="171" formatCode="_-[$$-409]* #,##0.00_ ;_-[$$-409]* \-#,##0.00\ ;_-[$$-409]* &quot;-&quot;??_ ;_-@_ "/>
  </numFmts>
  <fonts count="8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3"/>
      <name val="Arial"/>
      <family val="2"/>
    </font>
    <font>
      <sz val="11"/>
      <name val="Calibri"/>
      <family val="2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9"/>
      <color theme="0" tint="-0.34998626667073579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64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color rgb="FF000000"/>
      <name val="Arial"/>
      <family val="2"/>
    </font>
    <font>
      <i/>
      <sz val="9"/>
      <color theme="1" tint="0.499984740745262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5"/>
      <name val="Calibri"/>
      <family val="2"/>
    </font>
    <font>
      <sz val="10"/>
      <name val="Times New Roman"/>
      <family val="1"/>
    </font>
    <font>
      <b/>
      <sz val="12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  <font>
      <b/>
      <sz val="10"/>
      <color theme="0"/>
      <name val="Arial"/>
      <family val="2"/>
    </font>
    <font>
      <b/>
      <sz val="10"/>
      <color theme="2"/>
      <name val="Arial"/>
      <family val="2"/>
    </font>
    <font>
      <b/>
      <sz val="10"/>
      <color theme="9" tint="0.3999755851924192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333399"/>
      <name val="Arial"/>
      <family val="2"/>
    </font>
    <font>
      <sz val="9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theme="5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0000FF"/>
      <name val="Calibri"/>
      <family val="2"/>
    </font>
    <font>
      <i/>
      <sz val="11"/>
      <color theme="0" tint="-0.499984740745262"/>
      <name val="Calibri"/>
      <family val="2"/>
    </font>
    <font>
      <b/>
      <sz val="12"/>
      <color theme="4"/>
      <name val="Calibri"/>
      <family val="2"/>
    </font>
    <font>
      <b/>
      <sz val="12"/>
      <color rgb="FF0066FF"/>
      <name val="Calibri"/>
      <family val="2"/>
    </font>
    <font>
      <i/>
      <sz val="8"/>
      <color theme="1" tint="0.34998626667073579"/>
      <name val="Calibri"/>
      <family val="2"/>
      <scheme val="minor"/>
    </font>
    <font>
      <sz val="8"/>
      <color rgb="FF000000"/>
      <name val="Calibri"/>
      <family val="2"/>
      <scheme val="minor"/>
    </font>
    <font>
      <sz val="10.9"/>
      <color rgb="FF000000"/>
      <name val="Calibri"/>
      <family val="2"/>
    </font>
    <font>
      <b/>
      <sz val="11"/>
      <color rgb="FF0066FF"/>
      <name val="Calibri"/>
      <family val="2"/>
    </font>
    <font>
      <b/>
      <sz val="12"/>
      <color theme="0"/>
      <name val="Calibri"/>
      <family val="2"/>
    </font>
    <font>
      <b/>
      <sz val="11"/>
      <color theme="5"/>
      <name val="Calibri"/>
      <family val="2"/>
      <scheme val="minor"/>
    </font>
    <font>
      <b/>
      <sz val="9"/>
      <color theme="5"/>
      <name val="Calibri"/>
      <family val="2"/>
      <scheme val="minor"/>
    </font>
    <font>
      <sz val="9"/>
      <color theme="5"/>
      <name val="Calibri"/>
      <family val="2"/>
      <scheme val="minor"/>
    </font>
    <font>
      <b/>
      <sz val="10"/>
      <color rgb="FF000000"/>
      <name val="Calibri"/>
      <family val="2"/>
    </font>
    <font>
      <b/>
      <sz val="18"/>
      <color theme="0"/>
      <name val="Calibri"/>
      <family val="2"/>
    </font>
    <font>
      <sz val="12"/>
      <color rgb="FF000000"/>
      <name val="Calibri"/>
      <family val="2"/>
    </font>
    <font>
      <u/>
      <sz val="12"/>
      <color rgb="FF2050BE"/>
      <name val="Calibri"/>
      <family val="2"/>
    </font>
    <font>
      <b/>
      <sz val="12"/>
      <color rgb="FF000000"/>
      <name val="Calibri"/>
      <family val="2"/>
    </font>
    <font>
      <b/>
      <sz val="10"/>
      <color theme="4"/>
      <name val="Calibri"/>
      <family val="2"/>
    </font>
    <font>
      <sz val="10.5"/>
      <color rgb="FF000000"/>
      <name val="Calibri"/>
      <family val="2"/>
      <scheme val="minor"/>
    </font>
    <font>
      <b/>
      <i/>
      <sz val="11"/>
      <color theme="0"/>
      <name val="Calibri"/>
      <family val="2"/>
    </font>
    <font>
      <b/>
      <sz val="11.45"/>
      <color rgb="FF000000"/>
      <name val="Calibri"/>
      <family val="2"/>
    </font>
    <font>
      <sz val="10"/>
      <name val="Calibri"/>
      <family val="2"/>
    </font>
    <font>
      <i/>
      <sz val="9"/>
      <name val="Calibri"/>
      <family val="2"/>
    </font>
    <font>
      <i/>
      <sz val="9"/>
      <color theme="0" tint="-0.499984740745262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</font>
    <font>
      <b/>
      <sz val="10"/>
      <color theme="0" tint="-0.499984740745262"/>
      <name val="Calibri"/>
      <family val="2"/>
    </font>
    <font>
      <b/>
      <sz val="18"/>
      <name val="Calibri"/>
      <family val="2"/>
    </font>
    <font>
      <b/>
      <sz val="12"/>
      <name val="Calibri"/>
      <family val="2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8F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hair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rgb="FFD5EEF8"/>
      </left>
      <right style="medium">
        <color rgb="FFD5EEF8"/>
      </right>
      <top style="medium">
        <color rgb="FFD5EEF8"/>
      </top>
      <bottom style="medium">
        <color rgb="FFD5EEF8"/>
      </bottom>
      <diagonal/>
    </border>
    <border>
      <left/>
      <right/>
      <top style="hair">
        <color indexed="64"/>
      </top>
      <bottom style="thin">
        <color theme="0" tint="-0.49998474074526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rgb="FFD5EEF8"/>
      </left>
      <right style="medium">
        <color rgb="FFD5EEF8"/>
      </right>
      <top style="medium">
        <color rgb="FFD5EEF8"/>
      </top>
      <bottom/>
      <diagonal/>
    </border>
    <border>
      <left style="medium">
        <color rgb="FFD5EEF8"/>
      </left>
      <right style="medium">
        <color rgb="FFD5EEF8"/>
      </right>
      <top/>
      <bottom/>
      <diagonal/>
    </border>
    <border>
      <left style="medium">
        <color rgb="FFD5EEF8"/>
      </left>
      <right style="medium">
        <color rgb="FFD5EEF8"/>
      </right>
      <top/>
      <bottom style="medium">
        <color rgb="FFD5EEF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theme="0" tint="-0.499984740745262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/>
      <top style="hair">
        <color indexed="64"/>
      </top>
      <bottom style="hair">
        <color auto="1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 style="hair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12" fillId="2" borderId="2" applyNumberFormat="0" applyAlignment="0" applyProtection="0"/>
    <xf numFmtId="0" fontId="13" fillId="0" borderId="0"/>
    <xf numFmtId="0" fontId="1" fillId="0" borderId="0"/>
    <xf numFmtId="0" fontId="16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/>
    <xf numFmtId="0" fontId="12" fillId="2" borderId="25" applyNumberForma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8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2" xfId="0" applyFont="1" applyBorder="1"/>
    <xf numFmtId="0" fontId="10" fillId="0" borderId="0" xfId="3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5" fillId="12" borderId="3" xfId="0" applyFont="1" applyFill="1" applyBorder="1" applyAlignment="1">
      <alignment horizontal="left" vertical="center"/>
    </xf>
    <xf numFmtId="0" fontId="15" fillId="13" borderId="3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right" vertical="center"/>
    </xf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167" fontId="0" fillId="0" borderId="0" xfId="0" applyNumberFormat="1"/>
    <xf numFmtId="4" fontId="3" fillId="0" borderId="0" xfId="0" applyNumberFormat="1" applyFont="1"/>
    <xf numFmtId="2" fontId="0" fillId="0" borderId="0" xfId="0" applyNumberFormat="1"/>
    <xf numFmtId="4" fontId="5" fillId="3" borderId="0" xfId="0" applyNumberFormat="1" applyFont="1" applyFill="1"/>
    <xf numFmtId="0" fontId="5" fillId="3" borderId="2" xfId="0" applyFont="1" applyFill="1" applyBorder="1"/>
    <xf numFmtId="0" fontId="4" fillId="16" borderId="0" xfId="0" applyFont="1" applyFill="1"/>
    <xf numFmtId="0" fontId="11" fillId="14" borderId="0" xfId="0" applyFont="1" applyFill="1"/>
    <xf numFmtId="0" fontId="18" fillId="0" borderId="2" xfId="0" applyFont="1" applyBorder="1"/>
    <xf numFmtId="0" fontId="18" fillId="0" borderId="0" xfId="0" applyFont="1"/>
    <xf numFmtId="0" fontId="3" fillId="0" borderId="0" xfId="0" applyFont="1" applyAlignment="1">
      <alignment horizontal="right"/>
    </xf>
    <xf numFmtId="0" fontId="4" fillId="16" borderId="0" xfId="0" applyFont="1" applyFill="1" applyAlignment="1">
      <alignment horizontal="right"/>
    </xf>
    <xf numFmtId="0" fontId="10" fillId="2" borderId="0" xfId="3" applyFont="1" applyFill="1"/>
    <xf numFmtId="0" fontId="20" fillId="0" borderId="0" xfId="3" applyFont="1"/>
    <xf numFmtId="4" fontId="10" fillId="0" borderId="0" xfId="3" applyNumberFormat="1" applyFont="1"/>
    <xf numFmtId="168" fontId="10" fillId="2" borderId="0" xfId="3" applyNumberFormat="1" applyFont="1" applyFill="1"/>
    <xf numFmtId="0" fontId="10" fillId="14" borderId="0" xfId="3" applyFont="1" applyFill="1"/>
    <xf numFmtId="0" fontId="10" fillId="17" borderId="0" xfId="3" applyFont="1" applyFill="1"/>
    <xf numFmtId="0" fontId="10" fillId="18" borderId="0" xfId="3" applyFont="1" applyFill="1"/>
    <xf numFmtId="0" fontId="10" fillId="5" borderId="0" xfId="3" applyFont="1" applyFill="1"/>
    <xf numFmtId="4" fontId="10" fillId="5" borderId="0" xfId="3" applyNumberFormat="1" applyFont="1" applyFill="1"/>
    <xf numFmtId="10" fontId="10" fillId="5" borderId="0" xfId="3" applyNumberFormat="1" applyFont="1" applyFill="1"/>
    <xf numFmtId="10" fontId="20" fillId="17" borderId="0" xfId="3" applyNumberFormat="1" applyFont="1" applyFill="1"/>
    <xf numFmtId="9" fontId="20" fillId="18" borderId="0" xfId="3" applyNumberFormat="1" applyFont="1" applyFill="1"/>
    <xf numFmtId="164" fontId="10" fillId="2" borderId="0" xfId="8" applyFont="1" applyFill="1"/>
    <xf numFmtId="10" fontId="10" fillId="0" borderId="0" xfId="3" applyNumberFormat="1" applyFont="1"/>
    <xf numFmtId="10" fontId="20" fillId="17" borderId="0" xfId="9" applyNumberFormat="1" applyFont="1" applyFill="1"/>
    <xf numFmtId="10" fontId="20" fillId="18" borderId="0" xfId="3" applyNumberFormat="1" applyFont="1" applyFill="1"/>
    <xf numFmtId="10" fontId="20" fillId="18" borderId="0" xfId="9" applyNumberFormat="1" applyFont="1" applyFill="1"/>
    <xf numFmtId="164" fontId="20" fillId="18" borderId="0" xfId="8" applyFont="1" applyFill="1"/>
    <xf numFmtId="165" fontId="10" fillId="2" borderId="0" xfId="9" applyNumberFormat="1" applyFont="1" applyFill="1"/>
    <xf numFmtId="10" fontId="10" fillId="18" borderId="0" xfId="3" applyNumberFormat="1" applyFont="1" applyFill="1"/>
    <xf numFmtId="0" fontId="10" fillId="6" borderId="0" xfId="3" applyFont="1" applyFill="1"/>
    <xf numFmtId="165" fontId="10" fillId="2" borderId="0" xfId="2" applyNumberFormat="1" applyFont="1" applyFill="1" applyBorder="1"/>
    <xf numFmtId="164" fontId="10" fillId="6" borderId="0" xfId="8" applyFont="1" applyFill="1"/>
    <xf numFmtId="44" fontId="10" fillId="6" borderId="0" xfId="1" applyFont="1" applyFill="1" applyBorder="1"/>
    <xf numFmtId="10" fontId="10" fillId="6" borderId="0" xfId="2" applyNumberFormat="1" applyFont="1" applyFill="1" applyBorder="1"/>
    <xf numFmtId="9" fontId="10" fillId="2" borderId="0" xfId="9" applyFont="1" applyFill="1"/>
    <xf numFmtId="10" fontId="20" fillId="0" borderId="0" xfId="2" applyNumberFormat="1" applyFont="1" applyBorder="1"/>
    <xf numFmtId="164" fontId="20" fillId="0" borderId="0" xfId="3" applyNumberFormat="1" applyFont="1"/>
    <xf numFmtId="164" fontId="10" fillId="0" borderId="0" xfId="3" applyNumberFormat="1" applyFont="1"/>
    <xf numFmtId="10" fontId="10" fillId="9" borderId="0" xfId="2" applyNumberFormat="1" applyFont="1" applyFill="1" applyBorder="1"/>
    <xf numFmtId="10" fontId="10" fillId="2" borderId="0" xfId="3" applyNumberFormat="1" applyFont="1" applyFill="1"/>
    <xf numFmtId="10" fontId="10" fillId="7" borderId="0" xfId="2" applyNumberFormat="1" applyFont="1" applyFill="1" applyBorder="1"/>
    <xf numFmtId="9" fontId="10" fillId="7" borderId="0" xfId="2" applyFont="1" applyFill="1" applyBorder="1"/>
    <xf numFmtId="9" fontId="10" fillId="9" borderId="0" xfId="2" applyFont="1" applyFill="1" applyBorder="1"/>
    <xf numFmtId="165" fontId="10" fillId="0" borderId="0" xfId="3" applyNumberFormat="1" applyFont="1"/>
    <xf numFmtId="10" fontId="10" fillId="0" borderId="0" xfId="2" applyNumberFormat="1" applyFont="1" applyBorder="1"/>
    <xf numFmtId="0" fontId="10" fillId="14" borderId="0" xfId="3" applyFont="1" applyFill="1" applyAlignment="1">
      <alignment horizontal="right"/>
    </xf>
    <xf numFmtId="0" fontId="20" fillId="6" borderId="0" xfId="3" applyFont="1" applyFill="1"/>
    <xf numFmtId="4" fontId="10" fillId="2" borderId="0" xfId="3" applyNumberFormat="1" applyFont="1" applyFill="1"/>
    <xf numFmtId="0" fontId="20" fillId="2" borderId="0" xfId="3" applyFont="1" applyFill="1"/>
    <xf numFmtId="165" fontId="10" fillId="5" borderId="0" xfId="3" applyNumberFormat="1" applyFont="1" applyFill="1"/>
    <xf numFmtId="166" fontId="10" fillId="0" borderId="0" xfId="3" applyNumberFormat="1" applyFont="1"/>
    <xf numFmtId="10" fontId="10" fillId="18" borderId="0" xfId="2" applyNumberFormat="1" applyFont="1" applyFill="1" applyBorder="1"/>
    <xf numFmtId="0" fontId="0" fillId="4" borderId="1" xfId="0" applyFill="1" applyBorder="1"/>
    <xf numFmtId="0" fontId="21" fillId="4" borderId="1" xfId="0" applyFont="1" applyFill="1" applyBorder="1"/>
    <xf numFmtId="4" fontId="11" fillId="3" borderId="2" xfId="0" applyNumberFormat="1" applyFont="1" applyFill="1" applyBorder="1"/>
    <xf numFmtId="9" fontId="10" fillId="0" borderId="0" xfId="3" applyNumberFormat="1" applyFont="1"/>
    <xf numFmtId="0" fontId="24" fillId="0" borderId="0" xfId="0" applyFont="1"/>
    <xf numFmtId="0" fontId="22" fillId="14" borderId="0" xfId="0" applyFont="1" applyFill="1"/>
    <xf numFmtId="0" fontId="25" fillId="0" borderId="0" xfId="0" applyFont="1"/>
    <xf numFmtId="0" fontId="0" fillId="19" borderId="0" xfId="0" applyFill="1"/>
    <xf numFmtId="0" fontId="10" fillId="0" borderId="0" xfId="3" quotePrefix="1" applyFont="1"/>
    <xf numFmtId="3" fontId="5" fillId="0" borderId="0" xfId="0" applyNumberFormat="1" applyFont="1"/>
    <xf numFmtId="3" fontId="5" fillId="0" borderId="2" xfId="0" applyNumberFormat="1" applyFont="1" applyBorder="1"/>
    <xf numFmtId="0" fontId="5" fillId="0" borderId="9" xfId="0" applyFont="1" applyBorder="1"/>
    <xf numFmtId="3" fontId="5" fillId="0" borderId="9" xfId="0" applyNumberFormat="1" applyFont="1" applyBorder="1"/>
    <xf numFmtId="3" fontId="0" fillId="0" borderId="2" xfId="0" applyNumberFormat="1" applyBorder="1"/>
    <xf numFmtId="3" fontId="18" fillId="0" borderId="2" xfId="0" applyNumberFormat="1" applyFont="1" applyBorder="1"/>
    <xf numFmtId="3" fontId="18" fillId="0" borderId="9" xfId="0" applyNumberFormat="1" applyFont="1" applyBorder="1"/>
    <xf numFmtId="9" fontId="18" fillId="0" borderId="0" xfId="0" applyNumberFormat="1" applyFont="1"/>
    <xf numFmtId="0" fontId="23" fillId="0" borderId="0" xfId="0" applyFont="1" applyAlignment="1">
      <alignment wrapText="1"/>
    </xf>
    <xf numFmtId="3" fontId="18" fillId="0" borderId="0" xfId="0" applyNumberFormat="1" applyFont="1"/>
    <xf numFmtId="10" fontId="18" fillId="7" borderId="0" xfId="0" applyNumberFormat="1" applyFont="1" applyFill="1"/>
    <xf numFmtId="0" fontId="0" fillId="20" borderId="0" xfId="0" applyFill="1"/>
    <xf numFmtId="4" fontId="3" fillId="0" borderId="0" xfId="0" applyNumberFormat="1" applyFont="1" applyAlignment="1">
      <alignment horizontal="right"/>
    </xf>
    <xf numFmtId="0" fontId="6" fillId="0" borderId="9" xfId="0" applyFont="1" applyBorder="1"/>
    <xf numFmtId="0" fontId="6" fillId="0" borderId="2" xfId="0" applyFont="1" applyBorder="1"/>
    <xf numFmtId="3" fontId="5" fillId="0" borderId="0" xfId="0" applyNumberFormat="1" applyFont="1" applyAlignment="1">
      <alignment horizontal="right"/>
    </xf>
    <xf numFmtId="3" fontId="18" fillId="0" borderId="2" xfId="0" applyNumberFormat="1" applyFont="1" applyBorder="1" applyAlignment="1">
      <alignment horizontal="right"/>
    </xf>
    <xf numFmtId="9" fontId="0" fillId="0" borderId="0" xfId="0" applyNumberFormat="1" applyAlignment="1">
      <alignment horizontal="right"/>
    </xf>
    <xf numFmtId="9" fontId="18" fillId="0" borderId="2" xfId="0" applyNumberFormat="1" applyFont="1" applyBorder="1" applyAlignment="1">
      <alignment horizontal="right"/>
    </xf>
    <xf numFmtId="0" fontId="19" fillId="14" borderId="2" xfId="0" applyFont="1" applyFill="1" applyBorder="1"/>
    <xf numFmtId="9" fontId="27" fillId="0" borderId="0" xfId="0" applyNumberFormat="1" applyFont="1" applyAlignment="1">
      <alignment horizontal="left" indent="1"/>
    </xf>
    <xf numFmtId="0" fontId="5" fillId="6" borderId="2" xfId="0" applyFont="1" applyFill="1" applyBorder="1"/>
    <xf numFmtId="3" fontId="5" fillId="6" borderId="2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5" fillId="2" borderId="2" xfId="0" applyFont="1" applyFill="1" applyBorder="1"/>
    <xf numFmtId="3" fontId="5" fillId="2" borderId="2" xfId="0" applyNumberFormat="1" applyFont="1" applyFill="1" applyBorder="1"/>
    <xf numFmtId="3" fontId="5" fillId="2" borderId="2" xfId="0" applyNumberFormat="1" applyFont="1" applyFill="1" applyBorder="1" applyAlignment="1">
      <alignment horizontal="right"/>
    </xf>
    <xf numFmtId="0" fontId="5" fillId="6" borderId="9" xfId="0" applyFont="1" applyFill="1" applyBorder="1"/>
    <xf numFmtId="3" fontId="5" fillId="6" borderId="9" xfId="0" applyNumberFormat="1" applyFont="1" applyFill="1" applyBorder="1" applyAlignment="1">
      <alignment horizontal="right"/>
    </xf>
    <xf numFmtId="3" fontId="5" fillId="6" borderId="2" xfId="0" applyNumberFormat="1" applyFont="1" applyFill="1" applyBorder="1" applyAlignment="1">
      <alignment horizontal="right"/>
    </xf>
    <xf numFmtId="0" fontId="6" fillId="0" borderId="0" xfId="0" applyFont="1"/>
    <xf numFmtId="9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5" fillId="2" borderId="0" xfId="0" applyNumberFormat="1" applyFont="1" applyFill="1"/>
    <xf numFmtId="3" fontId="6" fillId="0" borderId="0" xfId="0" applyNumberFormat="1" applyFont="1"/>
    <xf numFmtId="3" fontId="5" fillId="6" borderId="9" xfId="0" applyNumberFormat="1" applyFont="1" applyFill="1" applyBorder="1"/>
    <xf numFmtId="9" fontId="5" fillId="3" borderId="0" xfId="0" applyNumberFormat="1" applyFont="1" applyFill="1"/>
    <xf numFmtId="4" fontId="6" fillId="4" borderId="0" xfId="0" applyNumberFormat="1" applyFont="1" applyFill="1"/>
    <xf numFmtId="4" fontId="6" fillId="4" borderId="0" xfId="0" applyNumberFormat="1" applyFont="1" applyFill="1" applyAlignment="1">
      <alignment wrapText="1"/>
    </xf>
    <xf numFmtId="3" fontId="6" fillId="6" borderId="9" xfId="0" applyNumberFormat="1" applyFont="1" applyFill="1" applyBorder="1"/>
    <xf numFmtId="165" fontId="5" fillId="3" borderId="0" xfId="0" applyNumberFormat="1" applyFont="1" applyFill="1"/>
    <xf numFmtId="0" fontId="3" fillId="2" borderId="0" xfId="0" applyFont="1" applyFill="1" applyAlignment="1">
      <alignment horizontal="right"/>
    </xf>
    <xf numFmtId="3" fontId="0" fillId="2" borderId="2" xfId="0" applyNumberFormat="1" applyFill="1" applyBorder="1"/>
    <xf numFmtId="0" fontId="0" fillId="2" borderId="0" xfId="0" applyFill="1"/>
    <xf numFmtId="3" fontId="6" fillId="0" borderId="2" xfId="0" applyNumberFormat="1" applyFont="1" applyBorder="1"/>
    <xf numFmtId="9" fontId="5" fillId="0" borderId="0" xfId="0" applyNumberFormat="1" applyFont="1"/>
    <xf numFmtId="4" fontId="15" fillId="0" borderId="3" xfId="0" applyNumberFormat="1" applyFont="1" applyBorder="1" applyAlignment="1">
      <alignment horizontal="right" vertical="center"/>
    </xf>
    <xf numFmtId="0" fontId="28" fillId="0" borderId="0" xfId="0" applyFont="1"/>
    <xf numFmtId="9" fontId="6" fillId="0" borderId="0" xfId="0" applyNumberFormat="1" applyFont="1"/>
    <xf numFmtId="0" fontId="11" fillId="0" borderId="0" xfId="0" applyFont="1" applyAlignment="1">
      <alignment horizontal="right"/>
    </xf>
    <xf numFmtId="4" fontId="11" fillId="0" borderId="0" xfId="0" applyNumberFormat="1" applyFont="1" applyAlignment="1">
      <alignment horizontal="right"/>
    </xf>
    <xf numFmtId="10" fontId="5" fillId="0" borderId="0" xfId="0" applyNumberFormat="1" applyFont="1"/>
    <xf numFmtId="165" fontId="0" fillId="0" borderId="0" xfId="0" applyNumberFormat="1"/>
    <xf numFmtId="0" fontId="29" fillId="24" borderId="14" xfId="0" applyFont="1" applyFill="1" applyBorder="1" applyAlignment="1">
      <alignment horizontal="center" vertical="center" wrapText="1"/>
    </xf>
    <xf numFmtId="0" fontId="29" fillId="24" borderId="14" xfId="0" applyFont="1" applyFill="1" applyBorder="1" applyAlignment="1">
      <alignment horizontal="left" vertical="center" wrapText="1"/>
    </xf>
    <xf numFmtId="0" fontId="18" fillId="23" borderId="14" xfId="0" applyFont="1" applyFill="1" applyBorder="1" applyAlignment="1">
      <alignment horizontal="right" vertical="center" wrapText="1"/>
    </xf>
    <xf numFmtId="0" fontId="18" fillId="24" borderId="14" xfId="0" applyFont="1" applyFill="1" applyBorder="1" applyAlignment="1">
      <alignment horizontal="right" vertical="center" wrapText="1"/>
    </xf>
    <xf numFmtId="3" fontId="18" fillId="23" borderId="14" xfId="0" applyNumberFormat="1" applyFont="1" applyFill="1" applyBorder="1" applyAlignment="1">
      <alignment horizontal="right" vertical="center" wrapText="1"/>
    </xf>
    <xf numFmtId="3" fontId="18" fillId="24" borderId="14" xfId="0" applyNumberFormat="1" applyFont="1" applyFill="1" applyBorder="1" applyAlignment="1">
      <alignment horizontal="right" vertical="center" wrapText="1"/>
    </xf>
    <xf numFmtId="3" fontId="15" fillId="0" borderId="3" xfId="0" applyNumberFormat="1" applyFont="1" applyBorder="1" applyAlignment="1">
      <alignment horizontal="right" vertical="center"/>
    </xf>
    <xf numFmtId="0" fontId="5" fillId="6" borderId="0" xfId="0" applyFont="1" applyFill="1"/>
    <xf numFmtId="3" fontId="6" fillId="6" borderId="0" xfId="0" applyNumberFormat="1" applyFont="1" applyFill="1"/>
    <xf numFmtId="3" fontId="5" fillId="6" borderId="0" xfId="0" applyNumberFormat="1" applyFont="1" applyFill="1"/>
    <xf numFmtId="0" fontId="6" fillId="0" borderId="15" xfId="0" applyFont="1" applyBorder="1"/>
    <xf numFmtId="0" fontId="15" fillId="22" borderId="3" xfId="0" applyFont="1" applyFill="1" applyBorder="1" applyAlignment="1">
      <alignment horizontal="left" vertical="center"/>
    </xf>
    <xf numFmtId="165" fontId="18" fillId="0" borderId="0" xfId="0" applyNumberFormat="1" applyFont="1"/>
    <xf numFmtId="9" fontId="3" fillId="0" borderId="0" xfId="0" applyNumberFormat="1" applyFont="1"/>
    <xf numFmtId="9" fontId="30" fillId="0" borderId="0" xfId="0" applyNumberFormat="1" applyFont="1"/>
    <xf numFmtId="0" fontId="31" fillId="13" borderId="0" xfId="0" applyFont="1" applyFill="1" applyAlignment="1">
      <alignment horizontal="left" vertical="center"/>
    </xf>
    <xf numFmtId="0" fontId="2" fillId="25" borderId="0" xfId="0" applyFont="1" applyFill="1"/>
    <xf numFmtId="0" fontId="26" fillId="4" borderId="9" xfId="0" applyFont="1" applyFill="1" applyBorder="1"/>
    <xf numFmtId="0" fontId="18" fillId="4" borderId="9" xfId="0" applyFont="1" applyFill="1" applyBorder="1"/>
    <xf numFmtId="0" fontId="32" fillId="4" borderId="9" xfId="0" applyFont="1" applyFill="1" applyBorder="1"/>
    <xf numFmtId="4" fontId="26" fillId="4" borderId="9" xfId="0" applyNumberFormat="1" applyFont="1" applyFill="1" applyBorder="1"/>
    <xf numFmtId="0" fontId="18" fillId="4" borderId="9" xfId="0" quotePrefix="1" applyFont="1" applyFill="1" applyBorder="1"/>
    <xf numFmtId="0" fontId="26" fillId="4" borderId="16" xfId="0" applyFont="1" applyFill="1" applyBorder="1"/>
    <xf numFmtId="0" fontId="18" fillId="4" borderId="16" xfId="0" applyFont="1" applyFill="1" applyBorder="1"/>
    <xf numFmtId="0" fontId="26" fillId="9" borderId="9" xfId="0" applyFont="1" applyFill="1" applyBorder="1"/>
    <xf numFmtId="0" fontId="18" fillId="9" borderId="9" xfId="0" applyFont="1" applyFill="1" applyBorder="1"/>
    <xf numFmtId="0" fontId="18" fillId="9" borderId="9" xfId="0" applyFont="1" applyFill="1" applyBorder="1" applyAlignment="1">
      <alignment wrapText="1"/>
    </xf>
    <xf numFmtId="165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5" fillId="3" borderId="0" xfId="0" applyNumberFormat="1" applyFont="1" applyFill="1"/>
    <xf numFmtId="165" fontId="18" fillId="0" borderId="2" xfId="0" applyNumberFormat="1" applyFont="1" applyBorder="1" applyAlignment="1">
      <alignment horizontal="right"/>
    </xf>
    <xf numFmtId="10" fontId="18" fillId="0" borderId="2" xfId="0" applyNumberFormat="1" applyFont="1" applyBorder="1" applyAlignment="1">
      <alignment horizontal="right"/>
    </xf>
    <xf numFmtId="0" fontId="5" fillId="3" borderId="0" xfId="0" applyFont="1" applyFill="1"/>
    <xf numFmtId="0" fontId="26" fillId="0" borderId="0" xfId="0" applyFont="1"/>
    <xf numFmtId="0" fontId="33" fillId="0" borderId="0" xfId="0" applyFont="1"/>
    <xf numFmtId="0" fontId="0" fillId="22" borderId="0" xfId="0" applyFill="1"/>
    <xf numFmtId="0" fontId="0" fillId="26" borderId="0" xfId="0" applyFill="1"/>
    <xf numFmtId="10" fontId="18" fillId="8" borderId="0" xfId="0" applyNumberFormat="1" applyFont="1" applyFill="1"/>
    <xf numFmtId="0" fontId="6" fillId="14" borderId="0" xfId="0" applyFont="1" applyFill="1"/>
    <xf numFmtId="0" fontId="6" fillId="14" borderId="0" xfId="0" applyFont="1" applyFill="1" applyAlignment="1">
      <alignment horizontal="right"/>
    </xf>
    <xf numFmtId="10" fontId="0" fillId="9" borderId="0" xfId="0" applyNumberFormat="1" applyFill="1"/>
    <xf numFmtId="0" fontId="34" fillId="0" borderId="0" xfId="0" applyFont="1"/>
    <xf numFmtId="0" fontId="35" fillId="0" borderId="1" xfId="0" applyFont="1" applyBorder="1" applyAlignment="1">
      <alignment horizontal="left"/>
    </xf>
    <xf numFmtId="3" fontId="18" fillId="15" borderId="9" xfId="0" applyNumberFormat="1" applyFont="1" applyFill="1" applyBorder="1"/>
    <xf numFmtId="3" fontId="34" fillId="0" borderId="0" xfId="0" applyNumberFormat="1" applyFont="1"/>
    <xf numFmtId="3" fontId="38" fillId="0" borderId="9" xfId="0" applyNumberFormat="1" applyFont="1" applyBorder="1"/>
    <xf numFmtId="3" fontId="29" fillId="0" borderId="0" xfId="0" applyNumberFormat="1" applyFont="1"/>
    <xf numFmtId="3" fontId="29" fillId="0" borderId="9" xfId="0" applyNumberFormat="1" applyFont="1" applyBorder="1"/>
    <xf numFmtId="3" fontId="38" fillId="0" borderId="7" xfId="0" applyNumberFormat="1" applyFont="1" applyBorder="1"/>
    <xf numFmtId="0" fontId="36" fillId="17" borderId="12" xfId="0" applyFont="1" applyFill="1" applyBorder="1"/>
    <xf numFmtId="3" fontId="3" fillId="0" borderId="0" xfId="0" applyNumberFormat="1" applyFont="1" applyAlignment="1">
      <alignment horizontal="right"/>
    </xf>
    <xf numFmtId="0" fontId="11" fillId="14" borderId="0" xfId="0" applyFont="1" applyFill="1" applyAlignment="1">
      <alignment horizontal="right"/>
    </xf>
    <xf numFmtId="3" fontId="18" fillId="0" borderId="21" xfId="0" applyNumberFormat="1" applyFont="1" applyBorder="1"/>
    <xf numFmtId="3" fontId="18" fillId="0" borderId="7" xfId="0" applyNumberFormat="1" applyFont="1" applyBorder="1"/>
    <xf numFmtId="3" fontId="5" fillId="0" borderId="20" xfId="0" applyNumberFormat="1" applyFont="1" applyBorder="1"/>
    <xf numFmtId="3" fontId="3" fillId="0" borderId="0" xfId="0" applyNumberFormat="1" applyFont="1"/>
    <xf numFmtId="3" fontId="38" fillId="4" borderId="7" xfId="0" applyNumberFormat="1" applyFont="1" applyFill="1" applyBorder="1"/>
    <xf numFmtId="3" fontId="34" fillId="4" borderId="0" xfId="0" applyNumberFormat="1" applyFont="1" applyFill="1"/>
    <xf numFmtId="3" fontId="38" fillId="4" borderId="9" xfId="0" applyNumberFormat="1" applyFont="1" applyFill="1" applyBorder="1"/>
    <xf numFmtId="3" fontId="36" fillId="0" borderId="0" xfId="0" applyNumberFormat="1" applyFont="1"/>
    <xf numFmtId="0" fontId="36" fillId="17" borderId="13" xfId="0" applyFont="1" applyFill="1" applyBorder="1"/>
    <xf numFmtId="3" fontId="38" fillId="0" borderId="22" xfId="0" applyNumberFormat="1" applyFont="1" applyBorder="1"/>
    <xf numFmtId="3" fontId="38" fillId="4" borderId="22" xfId="0" applyNumberFormat="1" applyFont="1" applyFill="1" applyBorder="1"/>
    <xf numFmtId="0" fontId="13" fillId="4" borderId="9" xfId="0" applyFont="1" applyFill="1" applyBorder="1"/>
    <xf numFmtId="0" fontId="42" fillId="0" borderId="0" xfId="0" applyFont="1"/>
    <xf numFmtId="0" fontId="43" fillId="0" borderId="0" xfId="0" applyFont="1"/>
    <xf numFmtId="0" fontId="44" fillId="25" borderId="0" xfId="0" applyFont="1" applyFill="1" applyAlignment="1">
      <alignment horizontal="center"/>
    </xf>
    <xf numFmtId="0" fontId="44" fillId="25" borderId="0" xfId="0" applyFont="1" applyFill="1"/>
    <xf numFmtId="0" fontId="45" fillId="25" borderId="0" xfId="0" applyFont="1" applyFill="1"/>
    <xf numFmtId="0" fontId="44" fillId="25" borderId="0" xfId="0" applyFont="1" applyFill="1" applyAlignment="1">
      <alignment horizontal="left"/>
    </xf>
    <xf numFmtId="0" fontId="46" fillId="25" borderId="0" xfId="0" applyFont="1" applyFill="1"/>
    <xf numFmtId="0" fontId="47" fillId="14" borderId="0" xfId="3" applyFont="1" applyFill="1"/>
    <xf numFmtId="170" fontId="47" fillId="14" borderId="0" xfId="3" applyNumberFormat="1" applyFont="1" applyFill="1" applyAlignment="1">
      <alignment horizontal="right" indent="1"/>
    </xf>
    <xf numFmtId="170" fontId="48" fillId="14" borderId="0" xfId="3" applyNumberFormat="1" applyFont="1" applyFill="1" applyAlignment="1">
      <alignment horizontal="right" indent="1"/>
    </xf>
    <xf numFmtId="170" fontId="49" fillId="14" borderId="0" xfId="3" applyNumberFormat="1" applyFont="1" applyFill="1" applyAlignment="1">
      <alignment horizontal="right" indent="1"/>
    </xf>
    <xf numFmtId="165" fontId="47" fillId="14" borderId="0" xfId="2" applyNumberFormat="1" applyFont="1" applyFill="1" applyBorder="1" applyAlignment="1">
      <alignment horizontal="right" indent="1"/>
    </xf>
    <xf numFmtId="165" fontId="48" fillId="14" borderId="0" xfId="2" applyNumberFormat="1" applyFont="1" applyFill="1" applyBorder="1" applyAlignment="1">
      <alignment horizontal="right" indent="1"/>
    </xf>
    <xf numFmtId="165" fontId="49" fillId="14" borderId="0" xfId="2" applyNumberFormat="1" applyFont="1" applyFill="1" applyBorder="1" applyAlignment="1">
      <alignment horizontal="right" indent="1"/>
    </xf>
    <xf numFmtId="0" fontId="47" fillId="14" borderId="0" xfId="0" applyFont="1" applyFill="1"/>
    <xf numFmtId="2" fontId="47" fillId="14" borderId="0" xfId="0" applyNumberFormat="1" applyFont="1" applyFill="1" applyAlignment="1">
      <alignment horizontal="right" indent="1"/>
    </xf>
    <xf numFmtId="2" fontId="48" fillId="14" borderId="0" xfId="0" applyNumberFormat="1" applyFont="1" applyFill="1" applyAlignment="1">
      <alignment horizontal="right" indent="1"/>
    </xf>
    <xf numFmtId="2" fontId="49" fillId="14" borderId="0" xfId="0" applyNumberFormat="1" applyFont="1" applyFill="1" applyAlignment="1">
      <alignment horizontal="right" indent="1"/>
    </xf>
    <xf numFmtId="0" fontId="9" fillId="2" borderId="0" xfId="0" applyFont="1" applyFill="1"/>
    <xf numFmtId="0" fontId="5" fillId="6" borderId="9" xfId="0" applyFont="1" applyFill="1" applyBorder="1" applyAlignment="1">
      <alignment horizontal="left" vertical="center"/>
    </xf>
    <xf numFmtId="3" fontId="38" fillId="0" borderId="20" xfId="0" applyNumberFormat="1" applyFont="1" applyBorder="1"/>
    <xf numFmtId="3" fontId="38" fillId="4" borderId="20" xfId="0" applyNumberFormat="1" applyFont="1" applyFill="1" applyBorder="1"/>
    <xf numFmtId="3" fontId="38" fillId="4" borderId="21" xfId="0" applyNumberFormat="1" applyFont="1" applyFill="1" applyBorder="1"/>
    <xf numFmtId="3" fontId="38" fillId="0" borderId="21" xfId="0" applyNumberFormat="1" applyFont="1" applyBorder="1"/>
    <xf numFmtId="0" fontId="37" fillId="0" borderId="23" xfId="0" applyFont="1" applyBorder="1"/>
    <xf numFmtId="0" fontId="34" fillId="0" borderId="23" xfId="0" applyFont="1" applyBorder="1"/>
    <xf numFmtId="0" fontId="38" fillId="0" borderId="20" xfId="0" applyFont="1" applyBorder="1"/>
    <xf numFmtId="0" fontId="38" fillId="0" borderId="21" xfId="0" applyFont="1" applyBorder="1"/>
    <xf numFmtId="3" fontId="18" fillId="0" borderId="20" xfId="0" applyNumberFormat="1" applyFont="1" applyBorder="1"/>
    <xf numFmtId="3" fontId="18" fillId="0" borderId="20" xfId="0" applyNumberFormat="1" applyFont="1" applyBorder="1" applyAlignment="1">
      <alignment horizontal="right"/>
    </xf>
    <xf numFmtId="0" fontId="18" fillId="0" borderId="20" xfId="0" applyFont="1" applyBorder="1"/>
    <xf numFmtId="9" fontId="18" fillId="0" borderId="20" xfId="0" applyNumberFormat="1" applyFont="1" applyBorder="1" applyAlignment="1">
      <alignment horizontal="right"/>
    </xf>
    <xf numFmtId="0" fontId="18" fillId="0" borderId="24" xfId="0" applyFont="1" applyBorder="1"/>
    <xf numFmtId="3" fontId="18" fillId="0" borderId="24" xfId="0" applyNumberFormat="1" applyFont="1" applyBorder="1"/>
    <xf numFmtId="3" fontId="18" fillId="0" borderId="24" xfId="0" applyNumberFormat="1" applyFont="1" applyBorder="1" applyAlignment="1">
      <alignment horizontal="right"/>
    </xf>
    <xf numFmtId="9" fontId="18" fillId="0" borderId="24" xfId="0" applyNumberFormat="1" applyFont="1" applyBorder="1" applyAlignment="1">
      <alignment horizontal="right"/>
    </xf>
    <xf numFmtId="0" fontId="18" fillId="0" borderId="25" xfId="0" applyFont="1" applyBorder="1"/>
    <xf numFmtId="3" fontId="18" fillId="0" borderId="25" xfId="0" applyNumberFormat="1" applyFont="1" applyBorder="1"/>
    <xf numFmtId="3" fontId="18" fillId="0" borderId="25" xfId="0" applyNumberFormat="1" applyFont="1" applyBorder="1" applyAlignment="1">
      <alignment horizontal="right"/>
    </xf>
    <xf numFmtId="9" fontId="18" fillId="0" borderId="25" xfId="0" applyNumberFormat="1" applyFont="1" applyBorder="1" applyAlignment="1">
      <alignment horizontal="right"/>
    </xf>
    <xf numFmtId="10" fontId="50" fillId="7" borderId="0" xfId="0" applyNumberFormat="1" applyFont="1" applyFill="1"/>
    <xf numFmtId="10" fontId="50" fillId="8" borderId="0" xfId="0" applyNumberFormat="1" applyFont="1" applyFill="1"/>
    <xf numFmtId="0" fontId="10" fillId="9" borderId="0" xfId="0" applyFont="1" applyFill="1"/>
    <xf numFmtId="0" fontId="4" fillId="16" borderId="0" xfId="0" applyFont="1" applyFill="1" applyAlignment="1">
      <alignment horizontal="left"/>
    </xf>
    <xf numFmtId="0" fontId="51" fillId="0" borderId="0" xfId="0" applyFont="1"/>
    <xf numFmtId="0" fontId="39" fillId="0" borderId="0" xfId="0" applyFont="1"/>
    <xf numFmtId="0" fontId="0" fillId="10" borderId="0" xfId="0" applyFill="1"/>
    <xf numFmtId="0" fontId="0" fillId="27" borderId="0" xfId="0" applyFill="1"/>
    <xf numFmtId="10" fontId="0" fillId="27" borderId="0" xfId="0" applyNumberFormat="1" applyFill="1"/>
    <xf numFmtId="3" fontId="38" fillId="4" borderId="25" xfId="0" applyNumberFormat="1" applyFont="1" applyFill="1" applyBorder="1"/>
    <xf numFmtId="0" fontId="0" fillId="4" borderId="0" xfId="0" applyFill="1"/>
    <xf numFmtId="0" fontId="3" fillId="4" borderId="0" xfId="0" applyFont="1" applyFill="1"/>
    <xf numFmtId="3" fontId="18" fillId="0" borderId="0" xfId="0" applyNumberFormat="1" applyFont="1" applyAlignment="1">
      <alignment horizontal="right"/>
    </xf>
    <xf numFmtId="0" fontId="52" fillId="0" borderId="0" xfId="0" applyFont="1"/>
    <xf numFmtId="3" fontId="5" fillId="0" borderId="25" xfId="0" applyNumberFormat="1" applyFont="1" applyBorder="1"/>
    <xf numFmtId="0" fontId="2" fillId="28" borderId="25" xfId="3" applyFont="1" applyFill="1" applyBorder="1" applyAlignment="1">
      <alignment horizontal="left"/>
    </xf>
    <xf numFmtId="0" fontId="1" fillId="0" borderId="0" xfId="3" applyFont="1"/>
    <xf numFmtId="0" fontId="53" fillId="0" borderId="0" xfId="3" applyFont="1"/>
    <xf numFmtId="0" fontId="54" fillId="0" borderId="0" xfId="3" applyFont="1"/>
    <xf numFmtId="0" fontId="6" fillId="0" borderId="25" xfId="3" applyFont="1" applyBorder="1"/>
    <xf numFmtId="0" fontId="6" fillId="0" borderId="25" xfId="3" applyFont="1" applyBorder="1" applyAlignment="1">
      <alignment wrapText="1"/>
    </xf>
    <xf numFmtId="0" fontId="38" fillId="0" borderId="25" xfId="0" applyFont="1" applyBorder="1"/>
    <xf numFmtId="0" fontId="55" fillId="0" borderId="25" xfId="0" applyFont="1" applyBorder="1"/>
    <xf numFmtId="0" fontId="55" fillId="3" borderId="25" xfId="0" applyFont="1" applyFill="1" applyBorder="1"/>
    <xf numFmtId="0" fontId="38" fillId="15" borderId="25" xfId="0" applyFont="1" applyFill="1" applyBorder="1"/>
    <xf numFmtId="0" fontId="56" fillId="0" borderId="0" xfId="0" applyFont="1"/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57" fillId="0" borderId="0" xfId="0" applyFont="1" applyAlignment="1">
      <alignment vertical="center"/>
    </xf>
    <xf numFmtId="0" fontId="34" fillId="0" borderId="0" xfId="0" quotePrefix="1" applyFont="1" applyAlignment="1">
      <alignment vertical="center"/>
    </xf>
    <xf numFmtId="0" fontId="34" fillId="0" borderId="0" xfId="0" applyFont="1" applyAlignment="1">
      <alignment vertical="top"/>
    </xf>
    <xf numFmtId="0" fontId="58" fillId="0" borderId="0" xfId="0" applyFont="1" applyAlignment="1">
      <alignment vertical="center"/>
    </xf>
    <xf numFmtId="10" fontId="20" fillId="29" borderId="0" xfId="3" applyNumberFormat="1" applyFont="1" applyFill="1"/>
    <xf numFmtId="10" fontId="20" fillId="29" borderId="0" xfId="9" applyNumberFormat="1" applyFont="1" applyFill="1"/>
    <xf numFmtId="0" fontId="59" fillId="0" borderId="9" xfId="0" applyFont="1" applyBorder="1"/>
    <xf numFmtId="0" fontId="60" fillId="0" borderId="9" xfId="0" applyFont="1" applyBorder="1"/>
    <xf numFmtId="0" fontId="6" fillId="0" borderId="25" xfId="3" quotePrefix="1" applyFont="1" applyBorder="1"/>
    <xf numFmtId="0" fontId="6" fillId="0" borderId="0" xfId="3" quotePrefix="1" applyFont="1"/>
    <xf numFmtId="0" fontId="5" fillId="3" borderId="25" xfId="0" applyFont="1" applyFill="1" applyBorder="1"/>
    <xf numFmtId="0" fontId="31" fillId="13" borderId="3" xfId="0" applyFont="1" applyFill="1" applyBorder="1" applyAlignment="1">
      <alignment horizontal="left" vertical="center"/>
    </xf>
    <xf numFmtId="0" fontId="31" fillId="0" borderId="3" xfId="0" applyFont="1" applyBorder="1" applyAlignment="1">
      <alignment horizontal="right" vertical="center"/>
    </xf>
    <xf numFmtId="4" fontId="31" fillId="0" borderId="3" xfId="0" applyNumberFormat="1" applyFont="1" applyBorder="1" applyAlignment="1">
      <alignment horizontal="right" vertical="center"/>
    </xf>
    <xf numFmtId="4" fontId="10" fillId="29" borderId="0" xfId="3" applyNumberFormat="1" applyFont="1" applyFill="1"/>
    <xf numFmtId="0" fontId="10" fillId="29" borderId="0" xfId="3" applyFont="1" applyFill="1"/>
    <xf numFmtId="0" fontId="38" fillId="0" borderId="25" xfId="0" quotePrefix="1" applyFont="1" applyBorder="1" applyAlignment="1">
      <alignment vertical="center"/>
    </xf>
    <xf numFmtId="0" fontId="62" fillId="0" borderId="23" xfId="0" applyFont="1" applyBorder="1"/>
    <xf numFmtId="4" fontId="18" fillId="0" borderId="0" xfId="0" applyNumberFormat="1" applyFont="1"/>
    <xf numFmtId="4" fontId="18" fillId="15" borderId="9" xfId="0" applyNumberFormat="1" applyFont="1" applyFill="1" applyBorder="1"/>
    <xf numFmtId="4" fontId="18" fillId="15" borderId="2" xfId="0" applyNumberFormat="1" applyFont="1" applyFill="1" applyBorder="1"/>
    <xf numFmtId="2" fontId="34" fillId="8" borderId="0" xfId="0" applyNumberFormat="1" applyFont="1" applyFill="1"/>
    <xf numFmtId="0" fontId="13" fillId="3" borderId="0" xfId="0" applyFont="1" applyFill="1"/>
    <xf numFmtId="0" fontId="11" fillId="3" borderId="0" xfId="0" applyFont="1" applyFill="1"/>
    <xf numFmtId="20" fontId="0" fillId="4" borderId="1" xfId="0" applyNumberFormat="1" applyFill="1" applyBorder="1"/>
    <xf numFmtId="0" fontId="31" fillId="13" borderId="3" xfId="0" quotePrefix="1" applyFont="1" applyFill="1" applyBorder="1" applyAlignment="1">
      <alignment horizontal="left" vertical="center"/>
    </xf>
    <xf numFmtId="0" fontId="13" fillId="4" borderId="7" xfId="0" applyFont="1" applyFill="1" applyBorder="1"/>
    <xf numFmtId="0" fontId="13" fillId="4" borderId="0" xfId="0" applyFont="1" applyFill="1"/>
    <xf numFmtId="169" fontId="17" fillId="14" borderId="10" xfId="0" applyNumberFormat="1" applyFont="1" applyFill="1" applyBorder="1"/>
    <xf numFmtId="0" fontId="17" fillId="4" borderId="5" xfId="0" applyFont="1" applyFill="1" applyBorder="1" applyAlignment="1">
      <alignment horizontal="left"/>
    </xf>
    <xf numFmtId="0" fontId="17" fillId="8" borderId="5" xfId="0" applyFont="1" applyFill="1" applyBorder="1" applyAlignment="1">
      <alignment horizontal="left"/>
    </xf>
    <xf numFmtId="169" fontId="17" fillId="14" borderId="6" xfId="0" applyNumberFormat="1" applyFont="1" applyFill="1" applyBorder="1"/>
    <xf numFmtId="44" fontId="17" fillId="14" borderId="6" xfId="12" applyFont="1" applyFill="1" applyBorder="1"/>
    <xf numFmtId="0" fontId="17" fillId="4" borderId="4" xfId="0" applyFont="1" applyFill="1" applyBorder="1" applyAlignment="1">
      <alignment horizontal="left"/>
    </xf>
    <xf numFmtId="44" fontId="17" fillId="4" borderId="4" xfId="12" applyFont="1" applyFill="1" applyBorder="1" applyAlignment="1">
      <alignment horizontal="left"/>
    </xf>
    <xf numFmtId="0" fontId="17" fillId="8" borderId="4" xfId="0" applyFont="1" applyFill="1" applyBorder="1" applyAlignment="1">
      <alignment horizontal="left"/>
    </xf>
    <xf numFmtId="44" fontId="17" fillId="8" borderId="4" xfId="12" applyFont="1" applyFill="1" applyBorder="1" applyAlignment="1">
      <alignment horizontal="left"/>
    </xf>
    <xf numFmtId="44" fontId="17" fillId="14" borderId="11" xfId="12" applyFont="1" applyFill="1" applyBorder="1"/>
    <xf numFmtId="10" fontId="23" fillId="4" borderId="4" xfId="0" applyNumberFormat="1" applyFont="1" applyFill="1" applyBorder="1"/>
    <xf numFmtId="44" fontId="23" fillId="4" borderId="4" xfId="12" applyFont="1" applyFill="1" applyBorder="1"/>
    <xf numFmtId="10" fontId="23" fillId="8" borderId="4" xfId="0" applyNumberFormat="1" applyFont="1" applyFill="1" applyBorder="1"/>
    <xf numFmtId="44" fontId="23" fillId="8" borderId="4" xfId="12" applyFont="1" applyFill="1" applyBorder="1"/>
    <xf numFmtId="44" fontId="17" fillId="4" borderId="8" xfId="12" applyFont="1" applyFill="1" applyBorder="1" applyAlignment="1">
      <alignment horizontal="left"/>
    </xf>
    <xf numFmtId="44" fontId="17" fillId="8" borderId="8" xfId="12" applyFont="1" applyFill="1" applyBorder="1" applyAlignment="1">
      <alignment horizontal="left"/>
    </xf>
    <xf numFmtId="165" fontId="3" fillId="0" borderId="0" xfId="0" applyNumberFormat="1" applyFont="1"/>
    <xf numFmtId="44" fontId="17" fillId="14" borderId="6" xfId="1" applyFont="1" applyFill="1" applyBorder="1"/>
    <xf numFmtId="44" fontId="17" fillId="14" borderId="11" xfId="1" applyFont="1" applyFill="1" applyBorder="1"/>
    <xf numFmtId="44" fontId="17" fillId="4" borderId="4" xfId="1" applyFont="1" applyFill="1" applyBorder="1" applyAlignment="1">
      <alignment horizontal="left"/>
    </xf>
    <xf numFmtId="44" fontId="17" fillId="4" borderId="8" xfId="1" applyFont="1" applyFill="1" applyBorder="1" applyAlignment="1">
      <alignment horizontal="left"/>
    </xf>
    <xf numFmtId="44" fontId="17" fillId="8" borderId="4" xfId="1" applyFont="1" applyFill="1" applyBorder="1" applyAlignment="1">
      <alignment horizontal="left"/>
    </xf>
    <xf numFmtId="44" fontId="17" fillId="8" borderId="8" xfId="1" applyFont="1" applyFill="1" applyBorder="1" applyAlignment="1">
      <alignment horizontal="left"/>
    </xf>
    <xf numFmtId="0" fontId="0" fillId="14" borderId="0" xfId="3" applyFont="1" applyFill="1"/>
    <xf numFmtId="0" fontId="3" fillId="0" borderId="0" xfId="3" applyFont="1"/>
    <xf numFmtId="10" fontId="0" fillId="0" borderId="0" xfId="3" applyNumberFormat="1" applyFont="1"/>
    <xf numFmtId="10" fontId="1" fillId="0" borderId="0" xfId="3" applyNumberFormat="1" applyFont="1"/>
    <xf numFmtId="0" fontId="35" fillId="0" borderId="0" xfId="0" applyFont="1" applyAlignment="1">
      <alignment horizontal="left"/>
    </xf>
    <xf numFmtId="0" fontId="21" fillId="2" borderId="0" xfId="0" applyFont="1" applyFill="1"/>
    <xf numFmtId="0" fontId="29" fillId="14" borderId="29" xfId="0" applyFont="1" applyFill="1" applyBorder="1"/>
    <xf numFmtId="0" fontId="29" fillId="14" borderId="25" xfId="0" applyFont="1" applyFill="1" applyBorder="1"/>
    <xf numFmtId="0" fontId="6" fillId="4" borderId="0" xfId="0" applyFont="1" applyFill="1"/>
    <xf numFmtId="165" fontId="6" fillId="4" borderId="0" xfId="0" applyNumberFormat="1" applyFont="1" applyFill="1"/>
    <xf numFmtId="0" fontId="63" fillId="31" borderId="0" xfId="0" applyFont="1" applyFill="1" applyAlignment="1">
      <alignment horizontal="left"/>
    </xf>
    <xf numFmtId="0" fontId="7" fillId="31" borderId="0" xfId="0" applyFont="1" applyFill="1"/>
    <xf numFmtId="0" fontId="2" fillId="31" borderId="0" xfId="0" applyFont="1" applyFill="1"/>
    <xf numFmtId="10" fontId="52" fillId="2" borderId="0" xfId="3" applyNumberFormat="1" applyFont="1" applyFill="1"/>
    <xf numFmtId="0" fontId="64" fillId="0" borderId="0" xfId="3" applyFont="1"/>
    <xf numFmtId="10" fontId="52" fillId="0" borderId="0" xfId="0" applyNumberFormat="1" applyFont="1"/>
    <xf numFmtId="0" fontId="65" fillId="0" borderId="0" xfId="3" applyFont="1"/>
    <xf numFmtId="10" fontId="66" fillId="0" borderId="0" xfId="3" applyNumberFormat="1" applyFont="1"/>
    <xf numFmtId="0" fontId="66" fillId="0" borderId="0" xfId="3" applyFont="1"/>
    <xf numFmtId="44" fontId="17" fillId="22" borderId="30" xfId="12" applyFont="1" applyFill="1" applyBorder="1"/>
    <xf numFmtId="10" fontId="17" fillId="4" borderId="8" xfId="12" applyNumberFormat="1" applyFont="1" applyFill="1" applyBorder="1" applyAlignment="1">
      <alignment horizontal="right"/>
    </xf>
    <xf numFmtId="171" fontId="17" fillId="4" borderId="8" xfId="12" applyNumberFormat="1" applyFont="1" applyFill="1" applyBorder="1" applyAlignment="1">
      <alignment horizontal="left"/>
    </xf>
    <xf numFmtId="0" fontId="67" fillId="2" borderId="0" xfId="0" applyFont="1" applyFill="1" applyAlignment="1">
      <alignment horizontal="left"/>
    </xf>
    <xf numFmtId="0" fontId="68" fillId="31" borderId="0" xfId="0" applyFont="1" applyFill="1" applyAlignment="1">
      <alignment horizontal="left"/>
    </xf>
    <xf numFmtId="0" fontId="34" fillId="17" borderId="0" xfId="0" applyFont="1" applyFill="1"/>
    <xf numFmtId="3" fontId="38" fillId="2" borderId="21" xfId="0" applyNumberFormat="1" applyFont="1" applyFill="1" applyBorder="1"/>
    <xf numFmtId="3" fontId="38" fillId="2" borderId="7" xfId="0" applyNumberFormat="1" applyFont="1" applyFill="1" applyBorder="1"/>
    <xf numFmtId="169" fontId="69" fillId="0" borderId="0" xfId="0" applyNumberFormat="1" applyFont="1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70" fillId="0" borderId="0" xfId="0" applyFont="1" applyAlignment="1">
      <alignment horizontal="left"/>
    </xf>
    <xf numFmtId="169" fontId="38" fillId="14" borderId="0" xfId="0" applyNumberFormat="1" applyFont="1" applyFill="1"/>
    <xf numFmtId="165" fontId="17" fillId="4" borderId="4" xfId="1" applyNumberFormat="1" applyFont="1" applyFill="1" applyBorder="1" applyAlignment="1">
      <alignment horizontal="left"/>
    </xf>
    <xf numFmtId="0" fontId="17" fillId="2" borderId="0" xfId="0" applyFont="1" applyFill="1" applyAlignment="1">
      <alignment horizontal="left"/>
    </xf>
    <xf numFmtId="44" fontId="17" fillId="2" borderId="0" xfId="1" applyFont="1" applyFill="1" applyBorder="1" applyAlignment="1">
      <alignment horizontal="left"/>
    </xf>
    <xf numFmtId="9" fontId="17" fillId="2" borderId="0" xfId="1" applyNumberFormat="1" applyFont="1" applyFill="1" applyBorder="1" applyAlignment="1">
      <alignment horizontal="left"/>
    </xf>
    <xf numFmtId="165" fontId="17" fillId="2" borderId="0" xfId="1" applyNumberFormat="1" applyFont="1" applyFill="1" applyBorder="1" applyAlignment="1">
      <alignment horizontal="left"/>
    </xf>
    <xf numFmtId="9" fontId="17" fillId="8" borderId="4" xfId="1" applyNumberFormat="1" applyFont="1" applyFill="1" applyBorder="1" applyAlignment="1">
      <alignment horizontal="left"/>
    </xf>
    <xf numFmtId="165" fontId="17" fillId="8" borderId="4" xfId="1" applyNumberFormat="1" applyFont="1" applyFill="1" applyBorder="1" applyAlignment="1">
      <alignment horizontal="left"/>
    </xf>
    <xf numFmtId="3" fontId="0" fillId="8" borderId="0" xfId="0" applyNumberFormat="1" applyFill="1"/>
    <xf numFmtId="165" fontId="0" fillId="8" borderId="0" xfId="0" applyNumberFormat="1" applyFill="1"/>
    <xf numFmtId="0" fontId="37" fillId="17" borderId="0" xfId="0" applyFont="1" applyFill="1" applyAlignment="1">
      <alignment horizontal="left"/>
    </xf>
    <xf numFmtId="0" fontId="71" fillId="17" borderId="31" xfId="0" applyFont="1" applyFill="1" applyBorder="1" applyAlignment="1">
      <alignment horizontal="left"/>
    </xf>
    <xf numFmtId="44" fontId="17" fillId="32" borderId="0" xfId="12" applyFont="1" applyFill="1" applyBorder="1"/>
    <xf numFmtId="10" fontId="23" fillId="5" borderId="0" xfId="0" applyNumberFormat="1" applyFont="1" applyFill="1"/>
    <xf numFmtId="10" fontId="0" fillId="8" borderId="0" xfId="0" applyNumberFormat="1" applyFill="1"/>
    <xf numFmtId="10" fontId="17" fillId="8" borderId="4" xfId="1" applyNumberFormat="1" applyFont="1" applyFill="1" applyBorder="1" applyAlignment="1">
      <alignment horizontal="left"/>
    </xf>
    <xf numFmtId="0" fontId="0" fillId="0" borderId="0" xfId="0" quotePrefix="1"/>
    <xf numFmtId="4" fontId="23" fillId="5" borderId="0" xfId="0" applyNumberFormat="1" applyFont="1" applyFill="1"/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 vertical="center"/>
    </xf>
    <xf numFmtId="3" fontId="18" fillId="15" borderId="0" xfId="0" applyNumberFormat="1" applyFont="1" applyFill="1"/>
    <xf numFmtId="0" fontId="13" fillId="14" borderId="9" xfId="0" applyFont="1" applyFill="1" applyBorder="1"/>
    <xf numFmtId="0" fontId="18" fillId="0" borderId="29" xfId="0" applyFont="1" applyBorder="1"/>
    <xf numFmtId="9" fontId="5" fillId="3" borderId="29" xfId="0" applyNumberFormat="1" applyFont="1" applyFill="1" applyBorder="1"/>
    <xf numFmtId="3" fontId="13" fillId="0" borderId="9" xfId="0" applyNumberFormat="1" applyFont="1" applyBorder="1"/>
    <xf numFmtId="3" fontId="13" fillId="4" borderId="9" xfId="0" applyNumberFormat="1" applyFont="1" applyFill="1" applyBorder="1"/>
    <xf numFmtId="3" fontId="13" fillId="4" borderId="7" xfId="0" applyNumberFormat="1" applyFont="1" applyFill="1" applyBorder="1"/>
    <xf numFmtId="3" fontId="13" fillId="0" borderId="7" xfId="0" applyNumberFormat="1" applyFont="1" applyBorder="1"/>
    <xf numFmtId="0" fontId="18" fillId="0" borderId="29" xfId="3" applyFont="1" applyBorder="1"/>
    <xf numFmtId="10" fontId="3" fillId="0" borderId="0" xfId="3" applyNumberFormat="1" applyFont="1"/>
    <xf numFmtId="0" fontId="34" fillId="0" borderId="0" xfId="0" applyFont="1" applyAlignment="1">
      <alignment horizontal="left" wrapText="1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left"/>
    </xf>
    <xf numFmtId="0" fontId="18" fillId="0" borderId="29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 wrapText="1"/>
    </xf>
    <xf numFmtId="0" fontId="38" fillId="0" borderId="25" xfId="0" applyFont="1" applyBorder="1" applyAlignment="1">
      <alignment vertical="center"/>
    </xf>
    <xf numFmtId="0" fontId="22" fillId="17" borderId="26" xfId="0" applyFont="1" applyFill="1" applyBorder="1" applyAlignment="1">
      <alignment horizontal="left" vertical="center" wrapText="1" indent="1"/>
    </xf>
    <xf numFmtId="0" fontId="22" fillId="30" borderId="26" xfId="0" applyFont="1" applyFill="1" applyBorder="1" applyAlignment="1">
      <alignment horizontal="left" vertical="center" wrapText="1" indent="1"/>
    </xf>
    <xf numFmtId="0" fontId="22" fillId="19" borderId="26" xfId="0" applyFont="1" applyFill="1" applyBorder="1" applyAlignment="1">
      <alignment horizontal="left" vertical="center" wrapText="1" indent="1"/>
    </xf>
    <xf numFmtId="0" fontId="22" fillId="20" borderId="26" xfId="0" applyFont="1" applyFill="1" applyBorder="1" applyAlignment="1">
      <alignment horizontal="left" vertical="center" wrapText="1" indent="1"/>
    </xf>
    <xf numFmtId="0" fontId="22" fillId="21" borderId="26" xfId="0" applyFont="1" applyFill="1" applyBorder="1" applyAlignment="1">
      <alignment horizontal="left" vertical="center" wrapText="1" indent="1"/>
    </xf>
    <xf numFmtId="0" fontId="22" fillId="26" borderId="26" xfId="0" applyFont="1" applyFill="1" applyBorder="1" applyAlignment="1">
      <alignment horizontal="left" vertical="center" wrapText="1" indent="1"/>
    </xf>
    <xf numFmtId="0" fontId="38" fillId="0" borderId="0" xfId="0" quotePrefix="1" applyFont="1" applyAlignment="1">
      <alignment horizontal="left" vertical="center" wrapText="1"/>
    </xf>
    <xf numFmtId="0" fontId="22" fillId="30" borderId="26" xfId="0" applyFont="1" applyFill="1" applyBorder="1" applyAlignment="1">
      <alignment vertical="center" wrapText="1"/>
    </xf>
    <xf numFmtId="0" fontId="13" fillId="30" borderId="26" xfId="0" applyFont="1" applyFill="1" applyBorder="1"/>
    <xf numFmtId="0" fontId="13" fillId="30" borderId="0" xfId="0" applyFont="1" applyFill="1"/>
    <xf numFmtId="0" fontId="22" fillId="18" borderId="27" xfId="0" applyFont="1" applyFill="1" applyBorder="1" applyAlignment="1">
      <alignment vertical="center" wrapText="1"/>
    </xf>
    <xf numFmtId="0" fontId="22" fillId="18" borderId="27" xfId="0" applyFont="1" applyFill="1" applyBorder="1" applyAlignment="1">
      <alignment vertical="center"/>
    </xf>
    <xf numFmtId="0" fontId="22" fillId="20" borderId="26" xfId="0" applyFont="1" applyFill="1" applyBorder="1" applyAlignment="1">
      <alignment horizontal="left" vertical="center" indent="1"/>
    </xf>
    <xf numFmtId="0" fontId="22" fillId="21" borderId="26" xfId="0" applyFont="1" applyFill="1" applyBorder="1" applyAlignment="1">
      <alignment horizontal="left" vertical="center" indent="1"/>
    </xf>
    <xf numFmtId="0" fontId="22" fillId="26" borderId="26" xfId="0" applyFont="1" applyFill="1" applyBorder="1" applyAlignment="1">
      <alignment horizontal="left" vertical="center" indent="1"/>
    </xf>
    <xf numFmtId="0" fontId="22" fillId="19" borderId="26" xfId="0" applyFont="1" applyFill="1" applyBorder="1" applyAlignment="1">
      <alignment horizontal="left" vertical="center" indent="1"/>
    </xf>
    <xf numFmtId="10" fontId="6" fillId="0" borderId="0" xfId="0" applyNumberFormat="1" applyFont="1"/>
    <xf numFmtId="0" fontId="38" fillId="0" borderId="0" xfId="0" quotePrefix="1" applyFont="1" applyAlignment="1">
      <alignment horizontal="left" vertical="center"/>
    </xf>
    <xf numFmtId="0" fontId="78" fillId="0" borderId="0" xfId="0" applyFont="1"/>
    <xf numFmtId="4" fontId="5" fillId="3" borderId="29" xfId="0" applyNumberFormat="1" applyFont="1" applyFill="1" applyBorder="1"/>
    <xf numFmtId="3" fontId="18" fillId="15" borderId="29" xfId="0" applyNumberFormat="1" applyFont="1" applyFill="1" applyBorder="1"/>
    <xf numFmtId="0" fontId="79" fillId="0" borderId="0" xfId="0" applyFont="1"/>
    <xf numFmtId="0" fontId="0" fillId="18" borderId="0" xfId="0" applyFill="1"/>
    <xf numFmtId="3" fontId="80" fillId="0" borderId="29" xfId="0" applyNumberFormat="1" applyFont="1" applyBorder="1" applyAlignment="1">
      <alignment horizontal="left" vertical="center"/>
    </xf>
    <xf numFmtId="3" fontId="38" fillId="0" borderId="29" xfId="0" applyNumberFormat="1" applyFont="1" applyBorder="1" applyAlignment="1">
      <alignment horizontal="left" vertical="center"/>
    </xf>
    <xf numFmtId="3" fontId="80" fillId="0" borderId="31" xfId="0" applyNumberFormat="1" applyFont="1" applyBorder="1" applyAlignment="1">
      <alignment horizontal="left" vertical="center"/>
    </xf>
    <xf numFmtId="3" fontId="38" fillId="0" borderId="31" xfId="0" applyNumberFormat="1" applyFont="1" applyBorder="1" applyAlignment="1">
      <alignment horizontal="left" vertical="center"/>
    </xf>
    <xf numFmtId="9" fontId="72" fillId="0" borderId="0" xfId="0" applyNumberFormat="1" applyFont="1" applyAlignment="1">
      <alignment horizontal="left"/>
    </xf>
    <xf numFmtId="165" fontId="72" fillId="0" borderId="0" xfId="0" applyNumberFormat="1" applyFont="1" applyAlignment="1">
      <alignment horizontal="left"/>
    </xf>
    <xf numFmtId="0" fontId="22" fillId="4" borderId="26" xfId="0" applyFont="1" applyFill="1" applyBorder="1" applyAlignment="1">
      <alignment vertical="center" wrapText="1"/>
    </xf>
    <xf numFmtId="0" fontId="22" fillId="10" borderId="26" xfId="0" applyFont="1" applyFill="1" applyBorder="1" applyAlignment="1">
      <alignment vertical="center" wrapText="1"/>
    </xf>
    <xf numFmtId="0" fontId="22" fillId="19" borderId="26" xfId="0" applyFont="1" applyFill="1" applyBorder="1" applyAlignment="1">
      <alignment vertical="center" wrapText="1"/>
    </xf>
    <xf numFmtId="0" fontId="22" fillId="20" borderId="26" xfId="0" applyFont="1" applyFill="1" applyBorder="1" applyAlignment="1">
      <alignment vertical="center" wrapText="1"/>
    </xf>
    <xf numFmtId="0" fontId="22" fillId="21" borderId="26" xfId="0" applyFont="1" applyFill="1" applyBorder="1" applyAlignment="1">
      <alignment vertical="center" wrapText="1"/>
    </xf>
    <xf numFmtId="0" fontId="22" fillId="26" borderId="26" xfId="0" applyFont="1" applyFill="1" applyBorder="1" applyAlignment="1">
      <alignment vertical="center" wrapText="1"/>
    </xf>
    <xf numFmtId="3" fontId="72" fillId="0" borderId="0" xfId="0" applyNumberFormat="1" applyFont="1" applyAlignment="1">
      <alignment horizontal="left"/>
    </xf>
    <xf numFmtId="9" fontId="81" fillId="0" borderId="0" xfId="0" applyNumberFormat="1" applyFont="1" applyAlignment="1">
      <alignment horizontal="left"/>
    </xf>
    <xf numFmtId="165" fontId="81" fillId="0" borderId="0" xfId="0" applyNumberFormat="1" applyFont="1" applyAlignment="1">
      <alignment horizontal="left"/>
    </xf>
    <xf numFmtId="4" fontId="35" fillId="0" borderId="0" xfId="0" applyNumberFormat="1" applyFont="1" applyAlignment="1">
      <alignment horizontal="left"/>
    </xf>
    <xf numFmtId="0" fontId="13" fillId="0" borderId="0" xfId="0" applyFont="1"/>
    <xf numFmtId="0" fontId="22" fillId="0" borderId="0" xfId="0" applyFont="1"/>
    <xf numFmtId="0" fontId="82" fillId="31" borderId="0" xfId="0" applyFont="1" applyFill="1" applyAlignment="1">
      <alignment horizontal="left"/>
    </xf>
    <xf numFmtId="0" fontId="83" fillId="0" borderId="23" xfId="0" applyFont="1" applyBorder="1"/>
    <xf numFmtId="0" fontId="22" fillId="17" borderId="12" xfId="0" applyFont="1" applyFill="1" applyBorder="1"/>
    <xf numFmtId="0" fontId="41" fillId="2" borderId="0" xfId="10" applyFont="1" applyFill="1" applyAlignment="1">
      <alignment horizontal="left"/>
    </xf>
    <xf numFmtId="0" fontId="34" fillId="0" borderId="0" xfId="0" applyFont="1" applyAlignment="1">
      <alignment horizontal="left" wrapText="1"/>
    </xf>
    <xf numFmtId="0" fontId="22" fillId="18" borderId="27" xfId="0" applyFont="1" applyFill="1" applyBorder="1" applyAlignment="1">
      <alignment horizontal="left" vertical="center" wrapText="1" indent="1"/>
    </xf>
    <xf numFmtId="0" fontId="22" fillId="18" borderId="26" xfId="0" applyFont="1" applyFill="1" applyBorder="1" applyAlignment="1">
      <alignment horizontal="left" vertical="center" wrapText="1" indent="1"/>
    </xf>
    <xf numFmtId="0" fontId="38" fillId="0" borderId="25" xfId="0" quotePrefix="1" applyFont="1" applyBorder="1" applyAlignment="1">
      <alignment horizontal="left" wrapText="1"/>
    </xf>
    <xf numFmtId="0" fontId="34" fillId="0" borderId="0" xfId="0" quotePrefix="1" applyFont="1" applyAlignment="1">
      <alignment horizontal="left" wrapText="1"/>
    </xf>
    <xf numFmtId="0" fontId="18" fillId="0" borderId="28" xfId="0" applyFont="1" applyBorder="1" applyAlignment="1">
      <alignment horizontal="left" vertical="center" wrapText="1"/>
    </xf>
    <xf numFmtId="0" fontId="38" fillId="0" borderId="25" xfId="0" quotePrefix="1" applyFont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18" fillId="0" borderId="29" xfId="0" applyFont="1" applyBorder="1" applyAlignment="1">
      <alignment horizontal="left" vertical="center" wrapText="1"/>
    </xf>
    <xf numFmtId="0" fontId="15" fillId="12" borderId="3" xfId="0" applyFont="1" applyFill="1" applyBorder="1" applyAlignment="1">
      <alignment horizontal="left" vertical="center"/>
    </xf>
    <xf numFmtId="0" fontId="14" fillId="11" borderId="3" xfId="0" applyFont="1" applyFill="1" applyBorder="1" applyAlignment="1">
      <alignment horizontal="left" vertical="center"/>
    </xf>
    <xf numFmtId="0" fontId="29" fillId="24" borderId="17" xfId="0" applyFont="1" applyFill="1" applyBorder="1" applyAlignment="1">
      <alignment horizontal="left" vertical="center" wrapText="1"/>
    </xf>
    <xf numFmtId="0" fontId="29" fillId="24" borderId="19" xfId="0" applyFont="1" applyFill="1" applyBorder="1" applyAlignment="1">
      <alignment horizontal="left" vertical="center" wrapText="1"/>
    </xf>
    <xf numFmtId="0" fontId="29" fillId="24" borderId="18" xfId="0" applyFont="1" applyFill="1" applyBorder="1" applyAlignment="1">
      <alignment horizontal="left" vertical="center" wrapText="1"/>
    </xf>
    <xf numFmtId="0" fontId="0" fillId="0" borderId="0" xfId="0"/>
    <xf numFmtId="0" fontId="84" fillId="0" borderId="3" xfId="0" applyFont="1" applyBorder="1" applyAlignment="1">
      <alignment horizontal="center" vertical="top"/>
    </xf>
    <xf numFmtId="0" fontId="84" fillId="0" borderId="0" xfId="0" applyFont="1" applyBorder="1" applyAlignment="1">
      <alignment horizontal="center" vertical="top"/>
    </xf>
    <xf numFmtId="0" fontId="84" fillId="0" borderId="23" xfId="0" applyFont="1" applyBorder="1" applyAlignment="1">
      <alignment horizontal="center" vertical="top"/>
    </xf>
    <xf numFmtId="0" fontId="3" fillId="0" borderId="23" xfId="0" applyFont="1" applyBorder="1" applyAlignment="1">
      <alignment horizontal="center"/>
    </xf>
    <xf numFmtId="43" fontId="0" fillId="0" borderId="0" xfId="13" applyFont="1"/>
    <xf numFmtId="3" fontId="38" fillId="4" borderId="31" xfId="0" applyNumberFormat="1" applyFont="1" applyFill="1" applyBorder="1"/>
  </cellXfs>
  <cellStyles count="14">
    <cellStyle name="Currency 2" xfId="8" xr:uid="{0569DBB1-866D-421B-BEDD-ED063FB6F872}"/>
    <cellStyle name="Currency 3" xfId="12" xr:uid="{C5940C10-5826-4165-A1CE-C09423C27ADF}"/>
    <cellStyle name="Heading 4 2" xfId="4" xr:uid="{42D86459-165E-4248-BCDA-9F6F8A021E7A}"/>
    <cellStyle name="Heading 4 2 2" xfId="11" xr:uid="{816F2B00-D557-4FFD-A98C-369F44052354}"/>
    <cellStyle name="Moeda" xfId="1" builtinId="4"/>
    <cellStyle name="Normal" xfId="0" builtinId="0"/>
    <cellStyle name="Normal 2" xfId="3" xr:uid="{5482C17D-82FE-4B9D-90E3-1458620D43FC}"/>
    <cellStyle name="Normal 2 3" xfId="7" xr:uid="{C3013305-8F43-4909-9152-FAF7197F769A}"/>
    <cellStyle name="Normal 3" xfId="6" xr:uid="{31937B01-CA8C-48CD-ADCD-D5008B145592}"/>
    <cellStyle name="Normal 4" xfId="5" xr:uid="{1666E188-3E53-4FEC-AD5A-20305DECCBEA}"/>
    <cellStyle name="Normal_projeções" xfId="10" xr:uid="{6D0E60FE-BDCA-4FC4-B755-138E5D544074}"/>
    <cellStyle name="Percent 2" xfId="9" xr:uid="{643CC9CC-59C6-492E-8B5A-E6049F0B8941}"/>
    <cellStyle name="Porcentagem" xfId="2" builtinId="5"/>
    <cellStyle name="Vírgula" xfId="13" builtinId="3"/>
  </cellStyles>
  <dxfs count="0"/>
  <tableStyles count="0" defaultTableStyle="TableStyleMedium2" defaultPivotStyle="PivotStyleLight16"/>
  <colors>
    <mruColors>
      <color rgb="FFCCCCFF"/>
      <color rgb="FFE36713"/>
      <color rgb="FFFFFF99"/>
      <color rgb="FF0066FF"/>
      <color rgb="FF0000FF"/>
      <color rgb="FFFFCCFF"/>
      <color rgb="FFFF6699"/>
      <color rgb="FF996633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eetMetadata" Target="metadata.xml"/><Relationship Id="rId58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696056</xdr:colOff>
      <xdr:row>16</xdr:row>
      <xdr:rowOff>156702</xdr:rowOff>
    </xdr:from>
    <xdr:to>
      <xdr:col>4</xdr:col>
      <xdr:colOff>321914</xdr:colOff>
      <xdr:row>30</xdr:row>
      <xdr:rowOff>73268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20EEFF-F1EF-8525-C105-9DAAAD5A1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44" y="3292625"/>
          <a:ext cx="4416913" cy="24809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685799</xdr:colOff>
      <xdr:row>85</xdr:row>
      <xdr:rowOff>1</xdr:rowOff>
    </xdr:from>
    <xdr:to>
      <xdr:col>6</xdr:col>
      <xdr:colOff>853439</xdr:colOff>
      <xdr:row>90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E8637B-15BC-9FA9-AA2C-37EC03B1DF8F}"/>
            </a:ext>
          </a:extLst>
        </xdr:cNvPr>
        <xdr:cNvSpPr/>
      </xdr:nvSpPr>
      <xdr:spPr>
        <a:xfrm>
          <a:off x="6917266" y="11785601"/>
          <a:ext cx="1107440" cy="1109132"/>
        </a:xfrm>
        <a:prstGeom prst="rect">
          <a:avLst/>
        </a:prstGeom>
        <a:solidFill>
          <a:srgbClr val="FFFF66"/>
        </a:solidFill>
        <a:ln w="12700" cap="flat" cmpd="sng" algn="ctr">
          <a:solidFill>
            <a:srgbClr val="FFC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>
                  <a:lumMod val="100000"/>
                </a:schemeClr>
              </a:solidFill>
            </a:rPr>
            <a:t>Decaimento</a:t>
          </a:r>
          <a:r>
            <a:rPr lang="pt-BR" sz="1100" baseline="0">
              <a:solidFill>
                <a:schemeClr val="tx1">
                  <a:lumMod val="100000"/>
                </a:schemeClr>
              </a:solidFill>
            </a:rPr>
            <a:t> muito agressivo</a:t>
          </a:r>
        </a:p>
        <a:p>
          <a:pPr algn="l"/>
          <a:r>
            <a:rPr lang="pt-BR" sz="1100" baseline="0">
              <a:solidFill>
                <a:schemeClr val="tx1">
                  <a:lumMod val="100000"/>
                </a:schemeClr>
              </a:solidFill>
            </a:rPr>
            <a:t>Há um limitante?</a:t>
          </a:r>
          <a:endParaRPr lang="pt-BR" sz="1100">
            <a:solidFill>
              <a:schemeClr val="tx1">
                <a:lumMod val="100000"/>
              </a:schemeClr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eticia Andrade" id="{D3CC8D8D-3863-4EE1-AF69-284528AA2C1E}" userId="S::Leticia_Andrade@mckinsey.com::0a57cacc-9a85-4125-b780-c4235358ba02" providerId="AD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4-04-30T20:55:37.71" personId="{D3CC8D8D-3863-4EE1-AF69-284528AA2C1E}" id="{CA0229D0-6AA1-42C0-BD85-EFB288B8E3F5}">
    <text>Crescimento considerado flat devido a alto nível de agregação em "outros transportes" e impacto econômico da pandemia no setor, que gerou uma queda brusca do crescimento em 2019-21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economics.mckinsey.com/tefveqd/comparative-industry-service-cis-isic-revision-4-an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2616-B7C7-40AB-B2F5-B7246FCB9038}">
  <dimension ref="A2:AB45"/>
  <sheetViews>
    <sheetView showGridLines="0" workbookViewId="0">
      <selection activeCell="C8" sqref="C8"/>
    </sheetView>
  </sheetViews>
  <sheetFormatPr defaultRowHeight="14.25" x14ac:dyDescent="0.45"/>
  <cols>
    <col min="1" max="1" width="21.19921875" customWidth="1"/>
    <col min="8" max="8" width="22.33203125" customWidth="1"/>
    <col min="9" max="9" width="18.33203125" customWidth="1"/>
  </cols>
  <sheetData>
    <row r="2" spans="1:1" x14ac:dyDescent="0.45">
      <c r="A2" s="19" t="s">
        <v>202</v>
      </c>
    </row>
    <row r="3" spans="1:1" x14ac:dyDescent="0.45">
      <c r="A3" s="71">
        <f>B21*C21*D21*E21*F21*G21</f>
        <v>1.3622653753834655</v>
      </c>
    </row>
    <row r="5" spans="1:1" x14ac:dyDescent="0.45">
      <c r="A5" s="19" t="s">
        <v>201</v>
      </c>
    </row>
    <row r="6" spans="1:1" x14ac:dyDescent="0.45">
      <c r="A6" s="71">
        <f>G26*F26*E26*D26*C26*H26</f>
        <v>1.1431566969667646</v>
      </c>
    </row>
    <row r="8" spans="1:1" x14ac:dyDescent="0.45">
      <c r="A8" s="19" t="s">
        <v>901</v>
      </c>
    </row>
    <row r="9" spans="1:1" x14ac:dyDescent="0.45">
      <c r="A9" s="71">
        <f>H26*G26*F26</f>
        <v>1.0785319545600001</v>
      </c>
    </row>
    <row r="11" spans="1:1" x14ac:dyDescent="0.45">
      <c r="A11" s="19" t="s">
        <v>927</v>
      </c>
    </row>
    <row r="12" spans="1:1" x14ac:dyDescent="0.45">
      <c r="A12" s="71">
        <f>PRODUCT(C27:H27)</f>
        <v>0.87136111591895737</v>
      </c>
    </row>
    <row r="15" spans="1:1" x14ac:dyDescent="0.45">
      <c r="A15" s="1"/>
    </row>
    <row r="16" spans="1:1" x14ac:dyDescent="0.45">
      <c r="A16" t="s">
        <v>38</v>
      </c>
    </row>
    <row r="17" spans="1:28" x14ac:dyDescent="0.45">
      <c r="A17" t="s">
        <v>925</v>
      </c>
    </row>
    <row r="19" spans="1:28" x14ac:dyDescent="0.45">
      <c r="A19">
        <v>2015</v>
      </c>
      <c r="B19">
        <v>2016</v>
      </c>
      <c r="C19">
        <v>2017</v>
      </c>
      <c r="D19">
        <v>2018</v>
      </c>
      <c r="E19">
        <v>2019</v>
      </c>
      <c r="F19">
        <v>2020</v>
      </c>
      <c r="G19">
        <v>2021</v>
      </c>
    </row>
    <row r="20" spans="1:28" x14ac:dyDescent="0.45">
      <c r="A20" s="13">
        <v>0.1067</v>
      </c>
      <c r="B20" s="13">
        <v>6.2899999999999998E-2</v>
      </c>
      <c r="C20" s="13">
        <v>2.9499999999999998E-2</v>
      </c>
      <c r="D20" s="13">
        <v>3.7499999999999999E-2</v>
      </c>
      <c r="E20" s="13">
        <v>4.3099999999999999E-2</v>
      </c>
      <c r="F20" s="13">
        <v>4.5199999999999997E-2</v>
      </c>
      <c r="G20" s="13">
        <v>0.10059999999999999</v>
      </c>
      <c r="H20" s="15"/>
    </row>
    <row r="21" spans="1:28" x14ac:dyDescent="0.45">
      <c r="A21" s="12">
        <f>1+A20</f>
        <v>1.1067</v>
      </c>
      <c r="B21" s="12">
        <f t="shared" ref="B21:G21" si="0">1+B20</f>
        <v>1.0629</v>
      </c>
      <c r="C21" s="12">
        <f t="shared" si="0"/>
        <v>1.0295000000000001</v>
      </c>
      <c r="D21" s="12">
        <f t="shared" si="0"/>
        <v>1.0375000000000001</v>
      </c>
      <c r="E21" s="12">
        <f t="shared" si="0"/>
        <v>1.0430999999999999</v>
      </c>
      <c r="F21" s="12">
        <f t="shared" si="0"/>
        <v>1.0451999999999999</v>
      </c>
      <c r="G21" s="12">
        <f t="shared" si="0"/>
        <v>1.1006</v>
      </c>
      <c r="H21" s="16">
        <f>A21*B21*C21*D21*E21*F21*G21</f>
        <v>1.5076190909368812</v>
      </c>
    </row>
    <row r="23" spans="1:28" x14ac:dyDescent="0.45">
      <c r="C23">
        <v>2016</v>
      </c>
      <c r="D23">
        <v>2017</v>
      </c>
      <c r="E23">
        <v>2018</v>
      </c>
      <c r="F23">
        <v>2019</v>
      </c>
      <c r="G23">
        <v>2020</v>
      </c>
      <c r="H23">
        <v>2021</v>
      </c>
    </row>
    <row r="24" spans="1:28" x14ac:dyDescent="0.45">
      <c r="A24" t="s">
        <v>199</v>
      </c>
      <c r="C24" s="12">
        <v>0.28652337314416421</v>
      </c>
      <c r="D24" s="12">
        <v>0.3132823901357818</v>
      </c>
      <c r="E24" s="12">
        <v>0.27363898808302201</v>
      </c>
      <c r="F24" s="12">
        <v>0.25348007012948609</v>
      </c>
      <c r="G24" s="12">
        <v>0.19395468544513181</v>
      </c>
      <c r="H24" s="12">
        <v>0.18535587081645</v>
      </c>
      <c r="I24" s="14"/>
      <c r="M24" s="12"/>
    </row>
    <row r="25" spans="1:28" x14ac:dyDescent="0.45">
      <c r="A25" t="s">
        <v>200</v>
      </c>
      <c r="C25" s="13">
        <v>1.26E-2</v>
      </c>
      <c r="D25" s="13">
        <v>2.1299999999999999E-2</v>
      </c>
      <c r="E25" s="13">
        <v>2.4899999999999999E-2</v>
      </c>
      <c r="F25" s="13">
        <v>1.7600000000000001E-2</v>
      </c>
      <c r="G25" s="13">
        <v>1.23E-2</v>
      </c>
      <c r="H25" s="13">
        <v>4.7E-2</v>
      </c>
      <c r="M25" s="14"/>
    </row>
    <row r="26" spans="1:28" x14ac:dyDescent="0.45">
      <c r="C26" s="12">
        <f>1+C25</f>
        <v>1.0125999999999999</v>
      </c>
      <c r="D26" s="12">
        <f t="shared" ref="D26:H26" si="1">1+D25</f>
        <v>1.0213000000000001</v>
      </c>
      <c r="E26" s="12">
        <f t="shared" si="1"/>
        <v>1.0248999999999999</v>
      </c>
      <c r="F26" s="12">
        <f t="shared" si="1"/>
        <v>1.0176000000000001</v>
      </c>
      <c r="G26" s="12">
        <f t="shared" si="1"/>
        <v>1.0123</v>
      </c>
      <c r="H26" s="12">
        <f t="shared" si="1"/>
        <v>1.0469999999999999</v>
      </c>
      <c r="M26" s="14"/>
    </row>
    <row r="27" spans="1:28" x14ac:dyDescent="0.45">
      <c r="A27" t="s">
        <v>926</v>
      </c>
      <c r="B27" s="12"/>
      <c r="C27" s="12">
        <f t="shared" ref="C27:H27" si="2">1-C25</f>
        <v>0.98740000000000006</v>
      </c>
      <c r="D27" s="12">
        <f t="shared" si="2"/>
        <v>0.97870000000000001</v>
      </c>
      <c r="E27" s="12">
        <f t="shared" si="2"/>
        <v>0.97509999999999997</v>
      </c>
      <c r="F27" s="12">
        <f t="shared" si="2"/>
        <v>0.98240000000000005</v>
      </c>
      <c r="G27" s="12">
        <f t="shared" si="2"/>
        <v>0.98770000000000002</v>
      </c>
      <c r="H27" s="12">
        <f t="shared" si="2"/>
        <v>0.95299999999999996</v>
      </c>
    </row>
    <row r="31" spans="1:28" ht="15.4" x14ac:dyDescent="0.45">
      <c r="A31" s="426" t="s">
        <v>794</v>
      </c>
      <c r="B31" s="426"/>
      <c r="C31" s="426"/>
      <c r="D31" s="426"/>
      <c r="E31" s="426"/>
      <c r="F31" s="426"/>
      <c r="G31" s="426"/>
      <c r="H31" s="426"/>
      <c r="I31" s="426"/>
      <c r="J31" s="426"/>
      <c r="K31" s="426"/>
      <c r="L31" s="426"/>
      <c r="M31" s="426"/>
      <c r="N31" s="426"/>
      <c r="O31" s="426"/>
      <c r="P31" s="196"/>
      <c r="Q31" s="196"/>
      <c r="R31" s="196"/>
      <c r="S31" s="196"/>
      <c r="T31" s="196"/>
      <c r="U31" s="196"/>
      <c r="V31" s="196"/>
      <c r="W31" s="196"/>
      <c r="X31" s="197"/>
      <c r="Y31" s="197"/>
      <c r="Z31" s="197"/>
      <c r="AA31" s="197"/>
      <c r="AB31" s="197"/>
    </row>
    <row r="32" spans="1:28" x14ac:dyDescent="0.45">
      <c r="A32" s="198" t="s">
        <v>795</v>
      </c>
      <c r="B32" s="199">
        <v>2007</v>
      </c>
      <c r="C32" s="199">
        <v>2008</v>
      </c>
      <c r="D32" s="199">
        <v>2009</v>
      </c>
      <c r="E32" s="199">
        <v>2010</v>
      </c>
      <c r="F32" s="199">
        <v>2011</v>
      </c>
      <c r="G32" s="199">
        <v>2012</v>
      </c>
      <c r="H32" s="199">
        <v>2013</v>
      </c>
      <c r="I32" s="199">
        <v>2014</v>
      </c>
      <c r="J32" s="199">
        <v>2015</v>
      </c>
      <c r="K32" s="199">
        <v>2016</v>
      </c>
      <c r="L32" s="199">
        <v>2017</v>
      </c>
      <c r="M32" s="199">
        <v>2018</v>
      </c>
      <c r="N32" s="199">
        <v>2019</v>
      </c>
      <c r="O32" s="199">
        <v>2020</v>
      </c>
      <c r="P32" s="199">
        <v>2021</v>
      </c>
      <c r="Q32" s="199">
        <v>2022</v>
      </c>
      <c r="R32" s="199">
        <v>2023</v>
      </c>
      <c r="S32" s="200">
        <v>2024</v>
      </c>
      <c r="T32" s="200">
        <v>2025</v>
      </c>
      <c r="U32" s="200">
        <v>2026</v>
      </c>
      <c r="V32" s="200">
        <v>2027</v>
      </c>
      <c r="W32" s="200">
        <v>2028</v>
      </c>
      <c r="X32" s="200">
        <v>2029</v>
      </c>
      <c r="Y32" s="200">
        <v>2030</v>
      </c>
      <c r="Z32" s="200">
        <v>2031</v>
      </c>
      <c r="AA32" s="200">
        <v>2032</v>
      </c>
      <c r="AB32" s="200">
        <v>2033</v>
      </c>
    </row>
    <row r="33" spans="1:28" x14ac:dyDescent="0.45">
      <c r="A33" s="201" t="s">
        <v>796</v>
      </c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</row>
    <row r="34" spans="1:28" x14ac:dyDescent="0.45">
      <c r="A34" s="203" t="s">
        <v>797</v>
      </c>
      <c r="B34" s="204">
        <v>1396.5106011602238</v>
      </c>
      <c r="C34" s="204">
        <v>1695.0850321595988</v>
      </c>
      <c r="D34" s="204">
        <v>1668.5217260712855</v>
      </c>
      <c r="E34" s="204">
        <v>2207.4913367039712</v>
      </c>
      <c r="F34" s="204">
        <v>2612.7653731343285</v>
      </c>
      <c r="G34" s="204">
        <v>2462.6668712597821</v>
      </c>
      <c r="H34" s="204">
        <v>2467.7708863688963</v>
      </c>
      <c r="I34" s="204">
        <v>2455.4022972226549</v>
      </c>
      <c r="J34" s="204">
        <v>1799.7079422888362</v>
      </c>
      <c r="K34" s="204">
        <v>1796.3087193837837</v>
      </c>
      <c r="L34" s="204">
        <v>2063.1146013089983</v>
      </c>
      <c r="M34" s="204">
        <v>1916.6060556308059</v>
      </c>
      <c r="N34" s="205">
        <v>1872.9974440759597</v>
      </c>
      <c r="O34" s="205">
        <v>1475.9169924992188</v>
      </c>
      <c r="P34" s="205">
        <v>1670.4534283315033</v>
      </c>
      <c r="Q34" s="205">
        <v>1951.5907364903792</v>
      </c>
      <c r="R34" s="205">
        <v>2101.9214916731494</v>
      </c>
      <c r="S34" s="206">
        <v>2316.7966804834646</v>
      </c>
      <c r="T34" s="206">
        <v>2400.8083581925725</v>
      </c>
      <c r="U34" s="206">
        <v>2471.1914497484131</v>
      </c>
      <c r="V34" s="206">
        <v>2612.5853600000205</v>
      </c>
      <c r="W34" s="206">
        <v>2756.2096384157453</v>
      </c>
      <c r="X34" s="206">
        <v>2882.0837245793496</v>
      </c>
      <c r="Y34" s="206">
        <v>3061.2562860057419</v>
      </c>
      <c r="Z34" s="206">
        <v>3215.9853106497399</v>
      </c>
      <c r="AA34" s="206">
        <v>3405.17064910832</v>
      </c>
      <c r="AB34" s="206">
        <v>3578.4982392677875</v>
      </c>
    </row>
    <row r="35" spans="1:28" x14ac:dyDescent="0.45">
      <c r="A35" s="203" t="s">
        <v>798</v>
      </c>
      <c r="B35" s="207">
        <v>6.0723659542557096E-2</v>
      </c>
      <c r="C35" s="207">
        <v>5.0937627034765676E-2</v>
      </c>
      <c r="D35" s="207">
        <v>-1.2445132103398038E-3</v>
      </c>
      <c r="E35" s="207">
        <v>7.5282491203301882E-2</v>
      </c>
      <c r="F35" s="207">
        <v>3.9744026619628101E-2</v>
      </c>
      <c r="G35" s="207">
        <v>1.9211814943874916E-2</v>
      </c>
      <c r="H35" s="207">
        <v>3.0048269457775278E-2</v>
      </c>
      <c r="I35" s="207">
        <v>5.0393459495359227E-3</v>
      </c>
      <c r="J35" s="207">
        <v>-3.5457552842598106E-2</v>
      </c>
      <c r="K35" s="207">
        <v>-3.2759130499899647E-2</v>
      </c>
      <c r="L35" s="207">
        <v>1.3228683839367816E-2</v>
      </c>
      <c r="M35" s="207">
        <v>1.7836721768855313E-2</v>
      </c>
      <c r="N35" s="208">
        <v>1.2207618682791299E-2</v>
      </c>
      <c r="O35" s="208">
        <v>-3.2767506495341547E-2</v>
      </c>
      <c r="P35" s="208">
        <v>4.7625989483594866E-2</v>
      </c>
      <c r="Q35" s="208">
        <v>3.0167179011841849E-2</v>
      </c>
      <c r="R35" s="208">
        <v>2.9079318721128011E-2</v>
      </c>
      <c r="S35" s="209">
        <v>1.7595061925883115E-2</v>
      </c>
      <c r="T35" s="209">
        <v>1.9154835697152262E-2</v>
      </c>
      <c r="U35" s="209">
        <v>1.9513652405678067E-2</v>
      </c>
      <c r="V35" s="209">
        <v>2.2222221145965219E-2</v>
      </c>
      <c r="W35" s="209">
        <v>2.4049555476369382E-2</v>
      </c>
      <c r="X35" s="209">
        <v>2.4842454594701413E-2</v>
      </c>
      <c r="Y35" s="209">
        <v>2.4793934865823125E-2</v>
      </c>
      <c r="Z35" s="209">
        <v>2.6798028458801627E-2</v>
      </c>
      <c r="AA35" s="209">
        <v>2.7713912078345629E-2</v>
      </c>
      <c r="AB35" s="209">
        <v>2.7630445940292556E-2</v>
      </c>
    </row>
    <row r="36" spans="1:28" x14ac:dyDescent="0.45">
      <c r="A36" s="210" t="s">
        <v>799</v>
      </c>
      <c r="B36" s="211">
        <v>1.9476205612474864</v>
      </c>
      <c r="C36" s="211">
        <v>1.834633984962406</v>
      </c>
      <c r="D36" s="211">
        <v>1.997583333333333</v>
      </c>
      <c r="E36" s="211">
        <v>1.7601333333333331</v>
      </c>
      <c r="F36" s="211">
        <v>1.6749666666666669</v>
      </c>
      <c r="G36" s="211">
        <v>1.9545833333333329</v>
      </c>
      <c r="H36" s="211">
        <v>2.1576333333333335</v>
      </c>
      <c r="I36" s="211">
        <v>2.353566666666667</v>
      </c>
      <c r="J36" s="211">
        <v>3.3315333333333328</v>
      </c>
      <c r="K36" s="211">
        <v>3.4901166666666668</v>
      </c>
      <c r="L36" s="211">
        <v>3.1920083333333333</v>
      </c>
      <c r="M36" s="212">
        <v>3.6544500000000006</v>
      </c>
      <c r="N36" s="212">
        <v>3.9450833333333328</v>
      </c>
      <c r="O36" s="212">
        <v>5.1558434781040221</v>
      </c>
      <c r="P36" s="212">
        <v>5.3950273902586945</v>
      </c>
      <c r="Q36" s="212">
        <v>5.1648513243748377</v>
      </c>
      <c r="R36" s="212">
        <v>4.9952255902244636</v>
      </c>
      <c r="S36" s="213">
        <v>4.9040654106858055</v>
      </c>
      <c r="T36" s="213">
        <v>4.9936500949288982</v>
      </c>
      <c r="U36" s="213">
        <v>5.1281291049823468</v>
      </c>
      <c r="V36" s="213">
        <v>5.1442984508259437</v>
      </c>
      <c r="W36" s="213">
        <v>5.1792903892428219</v>
      </c>
      <c r="X36" s="213">
        <v>5.2605740570914632</v>
      </c>
      <c r="Y36" s="213">
        <v>5.318492636765229</v>
      </c>
      <c r="Z36" s="213">
        <v>5.3255609752352902</v>
      </c>
      <c r="AA36" s="213">
        <v>5.3470864506345741</v>
      </c>
      <c r="AB36" s="213">
        <v>5.4097755131858341</v>
      </c>
    </row>
    <row r="37" spans="1:28" x14ac:dyDescent="0.45">
      <c r="B37" s="17">
        <f>1/B36</f>
        <v>0.51344703372790534</v>
      </c>
      <c r="C37" s="17">
        <f t="shared" ref="C37:R37" si="3">1/C36</f>
        <v>0.54506784906227024</v>
      </c>
      <c r="D37" s="17">
        <f t="shared" si="3"/>
        <v>0.50060489758458149</v>
      </c>
      <c r="E37" s="17">
        <f t="shared" si="3"/>
        <v>0.56813877736535123</v>
      </c>
      <c r="F37" s="17">
        <f t="shared" si="3"/>
        <v>0.59702680650361195</v>
      </c>
      <c r="G37" s="17">
        <f t="shared" si="3"/>
        <v>0.51161799189938195</v>
      </c>
      <c r="H37" s="17">
        <f t="shared" si="3"/>
        <v>0.46347077816743648</v>
      </c>
      <c r="I37" s="17">
        <f t="shared" si="3"/>
        <v>0.42488705085897993</v>
      </c>
      <c r="J37" s="17">
        <f t="shared" si="3"/>
        <v>0.30016208752726475</v>
      </c>
      <c r="K37" s="17">
        <f t="shared" si="3"/>
        <v>0.28652337314416421</v>
      </c>
      <c r="L37" s="17">
        <f t="shared" si="3"/>
        <v>0.3132823901357818</v>
      </c>
      <c r="M37" s="17">
        <f t="shared" si="3"/>
        <v>0.27363898808302201</v>
      </c>
      <c r="N37" s="17">
        <f t="shared" si="3"/>
        <v>0.25348007012948609</v>
      </c>
      <c r="O37" s="17">
        <f t="shared" si="3"/>
        <v>0.19395468544513181</v>
      </c>
      <c r="P37" s="17">
        <f t="shared" si="3"/>
        <v>0.18535587081645</v>
      </c>
      <c r="Q37" s="17">
        <f t="shared" si="3"/>
        <v>0.19361641549692463</v>
      </c>
      <c r="R37" s="17">
        <f t="shared" si="3"/>
        <v>0.20019115892522971</v>
      </c>
    </row>
    <row r="39" spans="1:28" x14ac:dyDescent="0.45">
      <c r="A39" s="214" t="s">
        <v>800</v>
      </c>
      <c r="F39" s="12">
        <f>1+F35</f>
        <v>1.0397440266196281</v>
      </c>
      <c r="G39" s="12">
        <f t="shared" ref="G39:P39" si="4">1+G35</f>
        <v>1.0192118149438749</v>
      </c>
      <c r="H39" s="12">
        <f t="shared" si="4"/>
        <v>1.0300482694577753</v>
      </c>
      <c r="I39" s="12">
        <f t="shared" si="4"/>
        <v>1.0050393459495359</v>
      </c>
      <c r="J39" s="12">
        <f t="shared" si="4"/>
        <v>0.96454244715740189</v>
      </c>
      <c r="K39" s="12">
        <f t="shared" si="4"/>
        <v>0.96724086950010035</v>
      </c>
      <c r="L39" s="12">
        <f t="shared" si="4"/>
        <v>1.0132286838393678</v>
      </c>
      <c r="M39" s="12">
        <f t="shared" si="4"/>
        <v>1.0178367217688553</v>
      </c>
      <c r="N39" s="12">
        <f t="shared" si="4"/>
        <v>1.0122076186827913</v>
      </c>
      <c r="O39" s="12">
        <f t="shared" si="4"/>
        <v>0.96723249350465845</v>
      </c>
      <c r="P39" s="12">
        <f t="shared" si="4"/>
        <v>1.0476259894835949</v>
      </c>
    </row>
    <row r="41" spans="1:28" x14ac:dyDescent="0.45">
      <c r="O41" t="s">
        <v>801</v>
      </c>
      <c r="P41">
        <f>PRODUCT(F39:P39)</f>
        <v>1.0826294650016037</v>
      </c>
      <c r="R41">
        <f>P41*P34</f>
        <v>1808.4821014246302</v>
      </c>
    </row>
    <row r="42" spans="1:28" x14ac:dyDescent="0.45">
      <c r="O42" t="s">
        <v>802</v>
      </c>
      <c r="P42" s="14">
        <f>P41-1</f>
        <v>8.262946500160373E-2</v>
      </c>
      <c r="R42">
        <f>R41+(0.1*R41)</f>
        <v>1989.3303115670933</v>
      </c>
    </row>
    <row r="43" spans="1:28" x14ac:dyDescent="0.45">
      <c r="R43">
        <f>R42*(1+0.06)</f>
        <v>2108.6901302611191</v>
      </c>
    </row>
    <row r="44" spans="1:28" x14ac:dyDescent="0.45">
      <c r="O44" t="s">
        <v>801</v>
      </c>
      <c r="P44">
        <f>PRODUCT(J39:P39)</f>
        <v>0.98684357591740735</v>
      </c>
    </row>
    <row r="45" spans="1:28" x14ac:dyDescent="0.45">
      <c r="O45" t="s">
        <v>803</v>
      </c>
      <c r="P45" s="14">
        <f>P44-1</f>
        <v>-1.3156424082592655E-2</v>
      </c>
    </row>
  </sheetData>
  <mergeCells count="1">
    <mergeCell ref="A31:O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49F1-A595-497C-A930-0209448F6CDD}">
  <dimension ref="B1:P72"/>
  <sheetViews>
    <sheetView showGridLines="0" zoomScaleNormal="100" workbookViewId="0"/>
  </sheetViews>
  <sheetFormatPr defaultColWidth="8.86328125" defaultRowHeight="14.25" x14ac:dyDescent="0.45"/>
  <cols>
    <col min="1" max="1" width="3.53125" style="173" customWidth="1"/>
    <col min="2" max="2" width="39.33203125" style="173" customWidth="1"/>
    <col min="3" max="3" width="21.53125" style="173" customWidth="1"/>
    <col min="4" max="4" width="8.86328125" style="173" customWidth="1"/>
    <col min="5" max="5" width="11.6640625" style="173" customWidth="1"/>
    <col min="6" max="6" width="12.53125" style="173" customWidth="1"/>
    <col min="7" max="7" width="19.1328125" style="173" customWidth="1"/>
    <col min="8" max="8" width="23.33203125" style="173" customWidth="1"/>
    <col min="9" max="16384" width="8.86328125" style="173"/>
  </cols>
  <sheetData>
    <row r="1" spans="2:16" s="174" customFormat="1" ht="24" customHeight="1" thickBot="1" x14ac:dyDescent="0.75">
      <c r="B1" s="174" t="str">
        <f ca="1">MID(CELL("filename",A1),FIND("]",CELL("filename",A1))+1,256)</f>
        <v>Introdução</v>
      </c>
    </row>
    <row r="3" spans="2:16" s="252" customFormat="1" x14ac:dyDescent="0.45">
      <c r="B3" s="251" t="s">
        <v>846</v>
      </c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</row>
    <row r="4" spans="2:16" s="252" customFormat="1" x14ac:dyDescent="0.45">
      <c r="B4" s="273" t="s">
        <v>1016</v>
      </c>
      <c r="C4" s="253"/>
      <c r="D4" s="254"/>
      <c r="E4" s="254"/>
      <c r="F4" s="254"/>
      <c r="G4" s="254"/>
      <c r="H4" s="254"/>
      <c r="I4" s="254"/>
      <c r="J4" s="254"/>
    </row>
    <row r="5" spans="2:16" s="252" customFormat="1" x14ac:dyDescent="0.45">
      <c r="B5" s="272" t="s">
        <v>847</v>
      </c>
      <c r="C5" s="255"/>
      <c r="D5" s="255"/>
      <c r="E5" s="255"/>
      <c r="F5" s="255"/>
      <c r="G5" s="255"/>
      <c r="H5" s="255"/>
      <c r="I5" s="255"/>
      <c r="J5" s="255"/>
      <c r="K5" s="374"/>
      <c r="L5" s="374"/>
    </row>
    <row r="6" spans="2:16" s="252" customFormat="1" x14ac:dyDescent="0.45">
      <c r="B6" s="272" t="s">
        <v>848</v>
      </c>
      <c r="C6" s="256"/>
      <c r="D6" s="256"/>
      <c r="E6" s="256"/>
      <c r="F6" s="256"/>
      <c r="G6" s="256"/>
      <c r="H6" s="256"/>
      <c r="I6" s="256"/>
      <c r="J6" s="256"/>
      <c r="K6" s="374"/>
      <c r="L6" s="374"/>
    </row>
    <row r="8" spans="2:16" s="252" customFormat="1" x14ac:dyDescent="0.45">
      <c r="B8" s="251" t="s">
        <v>1017</v>
      </c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</row>
    <row r="9" spans="2:16" ht="16.25" customHeight="1" x14ac:dyDescent="0.45">
      <c r="B9" s="266" t="s">
        <v>837</v>
      </c>
    </row>
    <row r="10" spans="2:16" x14ac:dyDescent="0.45">
      <c r="C10" s="257" t="s">
        <v>833</v>
      </c>
    </row>
    <row r="11" spans="2:16" x14ac:dyDescent="0.45">
      <c r="C11" s="258" t="s">
        <v>834</v>
      </c>
    </row>
    <row r="12" spans="2:16" x14ac:dyDescent="0.45">
      <c r="C12" s="259" t="s">
        <v>835</v>
      </c>
    </row>
    <row r="13" spans="2:16" x14ac:dyDescent="0.45">
      <c r="C13" s="260" t="s">
        <v>836</v>
      </c>
    </row>
    <row r="14" spans="2:16" x14ac:dyDescent="0.45">
      <c r="C14" s="261" t="s">
        <v>838</v>
      </c>
    </row>
    <row r="15" spans="2:16" x14ac:dyDescent="0.45">
      <c r="C15" s="261"/>
    </row>
    <row r="16" spans="2:16" s="252" customFormat="1" x14ac:dyDescent="0.45">
      <c r="B16" s="251" t="s">
        <v>844</v>
      </c>
      <c r="C16" s="251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</row>
    <row r="17" spans="2:16" x14ac:dyDescent="0.45">
      <c r="C17" s="261"/>
    </row>
    <row r="18" spans="2:16" x14ac:dyDescent="0.45">
      <c r="C18" s="261"/>
    </row>
    <row r="19" spans="2:16" x14ac:dyDescent="0.45">
      <c r="C19" s="261"/>
      <c r="O19" s="240"/>
    </row>
    <row r="20" spans="2:16" x14ac:dyDescent="0.45">
      <c r="C20" s="261"/>
    </row>
    <row r="21" spans="2:16" x14ac:dyDescent="0.45">
      <c r="C21" s="261"/>
    </row>
    <row r="22" spans="2:16" x14ac:dyDescent="0.45">
      <c r="C22" s="261"/>
    </row>
    <row r="23" spans="2:16" x14ac:dyDescent="0.45">
      <c r="C23" s="261"/>
    </row>
    <row r="24" spans="2:16" x14ac:dyDescent="0.45">
      <c r="C24" s="261"/>
    </row>
    <row r="25" spans="2:16" x14ac:dyDescent="0.45">
      <c r="C25" s="261"/>
    </row>
    <row r="26" spans="2:16" x14ac:dyDescent="0.45">
      <c r="C26" s="261"/>
    </row>
    <row r="27" spans="2:16" x14ac:dyDescent="0.45">
      <c r="C27" s="261"/>
    </row>
    <row r="28" spans="2:16" x14ac:dyDescent="0.45">
      <c r="C28" s="261"/>
    </row>
    <row r="29" spans="2:16" x14ac:dyDescent="0.45">
      <c r="C29" s="261"/>
    </row>
    <row r="30" spans="2:16" x14ac:dyDescent="0.45">
      <c r="C30" s="261"/>
    </row>
    <row r="32" spans="2:16" s="252" customFormat="1" x14ac:dyDescent="0.45">
      <c r="B32" s="251" t="s">
        <v>843</v>
      </c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1"/>
      <c r="O32" s="251"/>
      <c r="P32" s="251"/>
    </row>
    <row r="34" spans="2:16" ht="15.75" x14ac:dyDescent="0.45">
      <c r="B34" s="267" t="s">
        <v>839</v>
      </c>
      <c r="C34" s="262"/>
      <c r="D34" s="262"/>
      <c r="E34" s="262"/>
    </row>
    <row r="35" spans="2:16" x14ac:dyDescent="0.45">
      <c r="B35" s="262"/>
      <c r="C35" s="262"/>
      <c r="D35" s="262"/>
      <c r="E35" s="262"/>
    </row>
    <row r="36" spans="2:16" ht="17" customHeight="1" x14ac:dyDescent="0.45">
      <c r="B36" s="281" t="s">
        <v>835</v>
      </c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1"/>
      <c r="P36" s="221"/>
    </row>
    <row r="37" spans="2:16" x14ac:dyDescent="0.45">
      <c r="B37" s="265" t="s">
        <v>1018</v>
      </c>
    </row>
    <row r="38" spans="2:16" ht="19.8" customHeight="1" thickBot="1" x14ac:dyDescent="0.5">
      <c r="B38" s="382" t="s">
        <v>1028</v>
      </c>
      <c r="C38" s="173" t="s">
        <v>1056</v>
      </c>
    </row>
    <row r="39" spans="2:16" ht="28.9" thickBot="1" x14ac:dyDescent="0.5">
      <c r="B39" s="384" t="s">
        <v>1033</v>
      </c>
      <c r="C39" s="434" t="s">
        <v>1058</v>
      </c>
      <c r="D39" s="434"/>
      <c r="E39" s="434"/>
      <c r="F39" s="434"/>
      <c r="G39" s="434"/>
      <c r="H39" s="434"/>
      <c r="I39" s="434"/>
      <c r="J39" s="434"/>
      <c r="K39" s="434"/>
      <c r="L39" s="434"/>
      <c r="M39" s="434"/>
      <c r="N39" s="434"/>
      <c r="O39" s="434"/>
      <c r="P39" s="434"/>
    </row>
    <row r="40" spans="2:16" ht="31.25" customHeight="1" thickBot="1" x14ac:dyDescent="0.5">
      <c r="B40" s="383" t="s">
        <v>1029</v>
      </c>
      <c r="C40" s="434" t="s">
        <v>1035</v>
      </c>
      <c r="D40" s="434"/>
      <c r="E40" s="434"/>
      <c r="F40" s="434"/>
      <c r="G40" s="434"/>
      <c r="H40" s="434"/>
      <c r="I40" s="434"/>
      <c r="J40" s="434"/>
      <c r="K40" s="434"/>
      <c r="L40" s="434"/>
      <c r="M40" s="434"/>
      <c r="N40" s="434"/>
      <c r="O40" s="434"/>
      <c r="P40" s="434"/>
    </row>
    <row r="41" spans="2:16" ht="34.25" customHeight="1" thickBot="1" x14ac:dyDescent="0.5">
      <c r="B41" s="385" t="s">
        <v>1030</v>
      </c>
      <c r="C41" s="262" t="s">
        <v>1036</v>
      </c>
      <c r="D41" s="262"/>
      <c r="E41" s="262"/>
      <c r="F41" s="262"/>
      <c r="G41" s="262"/>
      <c r="H41" s="262"/>
      <c r="I41" s="262"/>
      <c r="J41" s="262"/>
      <c r="K41" s="262"/>
      <c r="L41" s="262"/>
      <c r="M41" s="262"/>
      <c r="N41" s="262"/>
      <c r="O41" s="262"/>
      <c r="P41" s="262"/>
    </row>
    <row r="42" spans="2:16" ht="28.9" thickBot="1" x14ac:dyDescent="0.5">
      <c r="B42" s="386" t="s">
        <v>1031</v>
      </c>
      <c r="C42" s="262" t="s">
        <v>1019</v>
      </c>
      <c r="D42" s="262"/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</row>
    <row r="43" spans="2:16" ht="14.65" thickBot="1" x14ac:dyDescent="0.5">
      <c r="B43" s="387" t="s">
        <v>1032</v>
      </c>
      <c r="C43" s="262" t="s">
        <v>1037</v>
      </c>
      <c r="D43" s="262"/>
      <c r="E43" s="262"/>
      <c r="F43" s="262"/>
      <c r="G43" s="262"/>
      <c r="H43" s="262"/>
      <c r="I43" s="262"/>
      <c r="J43" s="262"/>
      <c r="K43" s="262"/>
      <c r="L43" s="262"/>
      <c r="M43" s="262"/>
      <c r="N43" s="262"/>
      <c r="O43" s="262"/>
      <c r="P43" s="262"/>
    </row>
    <row r="45" spans="2:16" x14ac:dyDescent="0.45">
      <c r="B45" s="281" t="s">
        <v>841</v>
      </c>
      <c r="C45" s="221"/>
      <c r="D45" s="221"/>
      <c r="E45" s="221"/>
      <c r="F45" s="221"/>
      <c r="G45" s="221"/>
      <c r="H45" s="221"/>
      <c r="I45" s="221"/>
      <c r="J45" s="221"/>
      <c r="K45" s="221"/>
      <c r="L45" s="221"/>
      <c r="M45" s="221"/>
      <c r="N45" s="221"/>
      <c r="O45" s="221"/>
      <c r="P45" s="221"/>
    </row>
    <row r="46" spans="2:16" ht="20" customHeight="1" x14ac:dyDescent="0.45">
      <c r="B46" s="265" t="s">
        <v>1024</v>
      </c>
      <c r="C46" s="263"/>
      <c r="D46" s="263"/>
      <c r="E46" s="263"/>
      <c r="F46" s="263"/>
      <c r="G46" s="263"/>
      <c r="H46" s="263"/>
      <c r="I46" s="263"/>
      <c r="J46" s="263"/>
      <c r="K46" s="263"/>
    </row>
    <row r="47" spans="2:16" ht="29.45" customHeight="1" x14ac:dyDescent="0.45">
      <c r="B47" s="430" t="s">
        <v>840</v>
      </c>
      <c r="C47" s="430"/>
      <c r="D47" s="430"/>
      <c r="E47" s="430"/>
      <c r="F47" s="430"/>
      <c r="G47" s="430"/>
      <c r="H47" s="430"/>
      <c r="I47" s="430"/>
      <c r="J47" s="430"/>
      <c r="K47" s="430"/>
      <c r="L47" s="430"/>
      <c r="M47" s="430"/>
      <c r="N47" s="430"/>
      <c r="O47" s="430"/>
      <c r="P47" s="430"/>
    </row>
    <row r="48" spans="2:16" ht="28.25" customHeight="1" x14ac:dyDescent="0.45">
      <c r="B48" s="431" t="s">
        <v>854</v>
      </c>
      <c r="C48" s="431"/>
      <c r="D48" s="431"/>
      <c r="E48" s="431"/>
      <c r="F48" s="431"/>
      <c r="G48" s="431"/>
      <c r="H48" s="431"/>
      <c r="I48" s="431"/>
      <c r="J48" s="431"/>
      <c r="K48" s="431"/>
      <c r="L48" s="431"/>
      <c r="M48" s="431"/>
      <c r="N48" s="431"/>
      <c r="O48" s="431"/>
      <c r="P48" s="431"/>
    </row>
    <row r="50" spans="2:16" ht="15.75" x14ac:dyDescent="0.45">
      <c r="B50" s="267" t="s">
        <v>842</v>
      </c>
      <c r="C50" s="262"/>
      <c r="D50" s="262"/>
      <c r="E50" s="262"/>
    </row>
    <row r="51" spans="2:16" ht="15.75" x14ac:dyDescent="0.45">
      <c r="B51" s="264"/>
      <c r="C51" s="262"/>
      <c r="D51" s="262"/>
      <c r="E51" s="262"/>
    </row>
    <row r="52" spans="2:16" ht="17" customHeight="1" x14ac:dyDescent="0.45">
      <c r="B52" s="281" t="s">
        <v>835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1"/>
      <c r="M52" s="221"/>
      <c r="N52" s="221"/>
      <c r="O52" s="221"/>
      <c r="P52" s="221"/>
    </row>
    <row r="53" spans="2:16" s="262" customFormat="1" ht="30.6" customHeight="1" x14ac:dyDescent="0.45">
      <c r="B53" s="432" t="s">
        <v>1026</v>
      </c>
      <c r="C53" s="432"/>
      <c r="D53" s="432"/>
      <c r="E53" s="432"/>
      <c r="F53" s="432"/>
      <c r="G53" s="432"/>
      <c r="H53" s="432"/>
      <c r="I53" s="432"/>
      <c r="J53" s="432"/>
      <c r="K53" s="432"/>
      <c r="L53" s="432"/>
      <c r="M53" s="432"/>
      <c r="N53" s="432"/>
      <c r="O53" s="432"/>
      <c r="P53" s="432"/>
    </row>
    <row r="54" spans="2:16" s="262" customFormat="1" ht="36.6" customHeight="1" x14ac:dyDescent="0.45">
      <c r="B54" s="435" t="s">
        <v>1054</v>
      </c>
      <c r="C54" s="435"/>
      <c r="D54" s="435"/>
      <c r="E54" s="435"/>
      <c r="F54" s="435"/>
      <c r="G54" s="435"/>
      <c r="H54" s="435"/>
      <c r="I54" s="435"/>
      <c r="J54" s="435"/>
      <c r="K54" s="435"/>
      <c r="L54" s="435"/>
      <c r="M54" s="435"/>
      <c r="N54" s="435"/>
      <c r="O54" s="435"/>
      <c r="P54" s="380"/>
    </row>
    <row r="55" spans="2:16" s="262" customFormat="1" ht="21.6" customHeight="1" x14ac:dyDescent="0.45">
      <c r="B55" s="379" t="s">
        <v>1027</v>
      </c>
      <c r="C55" s="380"/>
      <c r="D55" s="380"/>
      <c r="E55" s="380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</row>
    <row r="56" spans="2:16" s="262" customFormat="1" ht="17" customHeight="1" x14ac:dyDescent="0.45">
      <c r="B56" s="280" t="s">
        <v>1023</v>
      </c>
      <c r="C56" s="381"/>
      <c r="D56" s="381"/>
      <c r="E56" s="381"/>
      <c r="F56" s="381"/>
      <c r="G56" s="381"/>
      <c r="H56" s="381"/>
      <c r="I56" s="381"/>
      <c r="J56" s="381"/>
      <c r="K56" s="381"/>
      <c r="L56" s="381"/>
      <c r="M56" s="381"/>
      <c r="N56" s="381"/>
      <c r="O56" s="381"/>
      <c r="P56" s="381"/>
    </row>
    <row r="57" spans="2:16" s="262" customFormat="1" ht="32.450000000000003" customHeight="1" x14ac:dyDescent="0.45">
      <c r="B57" s="433" t="s">
        <v>855</v>
      </c>
      <c r="C57" s="433"/>
      <c r="D57" s="433"/>
      <c r="E57" s="433"/>
      <c r="F57" s="433"/>
      <c r="G57" s="433"/>
      <c r="H57" s="433"/>
      <c r="I57" s="433"/>
      <c r="J57" s="433"/>
      <c r="K57" s="433"/>
      <c r="L57" s="433"/>
      <c r="M57" s="433"/>
      <c r="N57" s="433"/>
      <c r="O57" s="433"/>
      <c r="P57" s="433"/>
    </row>
    <row r="58" spans="2:16" s="262" customFormat="1" ht="26.45" customHeight="1" x14ac:dyDescent="0.45">
      <c r="B58" s="399" t="s">
        <v>1055</v>
      </c>
      <c r="C58" s="388"/>
      <c r="D58" s="388"/>
      <c r="E58" s="388"/>
      <c r="F58" s="388"/>
      <c r="G58" s="388"/>
      <c r="H58" s="388"/>
      <c r="I58" s="388"/>
      <c r="J58" s="388"/>
      <c r="K58" s="388"/>
      <c r="L58" s="388"/>
      <c r="M58" s="388"/>
      <c r="N58" s="388"/>
      <c r="O58" s="388"/>
      <c r="P58" s="388"/>
    </row>
    <row r="59" spans="2:16" s="262" customFormat="1" ht="22.25" customHeight="1" x14ac:dyDescent="0.45">
      <c r="B59" s="388" t="s">
        <v>1039</v>
      </c>
      <c r="C59" s="388"/>
      <c r="D59" s="388"/>
      <c r="E59" s="388"/>
      <c r="F59" s="388"/>
      <c r="G59" s="388"/>
      <c r="H59" s="388"/>
      <c r="I59" s="388"/>
      <c r="J59" s="388"/>
      <c r="K59" s="388"/>
      <c r="L59" s="388"/>
      <c r="M59" s="388"/>
      <c r="N59" s="388"/>
      <c r="O59" s="388"/>
      <c r="P59" s="388"/>
    </row>
    <row r="60" spans="2:16" s="262" customFormat="1" ht="32.450000000000003" customHeight="1" thickBot="1" x14ac:dyDescent="0.5">
      <c r="B60" s="382" t="s">
        <v>1028</v>
      </c>
      <c r="C60" s="427" t="s">
        <v>1021</v>
      </c>
      <c r="D60" s="427"/>
      <c r="E60" s="427"/>
      <c r="F60" s="427"/>
      <c r="G60" s="427"/>
      <c r="H60" s="427"/>
      <c r="I60" s="427"/>
      <c r="J60" s="427"/>
      <c r="K60" s="427"/>
      <c r="L60" s="427"/>
      <c r="M60" s="427"/>
      <c r="N60" s="427"/>
      <c r="O60" s="427"/>
      <c r="P60" s="427"/>
    </row>
    <row r="61" spans="2:16" s="262" customFormat="1" ht="32.450000000000003" customHeight="1" thickBot="1" x14ac:dyDescent="0.5">
      <c r="B61" s="384" t="s">
        <v>1033</v>
      </c>
      <c r="C61" s="427" t="s">
        <v>1021</v>
      </c>
      <c r="D61" s="427"/>
      <c r="E61" s="427"/>
      <c r="F61" s="427"/>
      <c r="G61" s="427"/>
      <c r="H61" s="427"/>
      <c r="I61" s="427"/>
      <c r="J61" s="427"/>
      <c r="K61" s="427"/>
      <c r="L61" s="427"/>
      <c r="M61" s="427"/>
      <c r="N61" s="427"/>
      <c r="O61" s="427"/>
      <c r="P61" s="427"/>
    </row>
    <row r="62" spans="2:16" ht="23.45" customHeight="1" thickBot="1" x14ac:dyDescent="0.5">
      <c r="B62" s="428" t="s">
        <v>1029</v>
      </c>
      <c r="C62" s="390" t="s">
        <v>850</v>
      </c>
      <c r="D62" s="173" t="s">
        <v>1020</v>
      </c>
      <c r="E62" s="377"/>
      <c r="F62" s="377"/>
      <c r="G62" s="377"/>
      <c r="H62" s="377"/>
      <c r="I62" s="377"/>
      <c r="J62" s="377"/>
      <c r="K62" s="377"/>
      <c r="L62" s="377"/>
      <c r="M62" s="377"/>
      <c r="N62" s="377"/>
      <c r="O62" s="377"/>
      <c r="P62" s="377"/>
    </row>
    <row r="63" spans="2:16" ht="22.25" customHeight="1" thickBot="1" x14ac:dyDescent="0.5">
      <c r="B63" s="429"/>
      <c r="C63" s="391" t="s">
        <v>851</v>
      </c>
      <c r="D63" s="378" t="s">
        <v>1038</v>
      </c>
      <c r="E63" s="376"/>
      <c r="F63" s="377"/>
      <c r="G63" s="377"/>
      <c r="H63" s="377"/>
      <c r="I63" s="377"/>
      <c r="J63" s="377"/>
      <c r="K63" s="377"/>
      <c r="L63" s="377"/>
      <c r="M63" s="377"/>
      <c r="N63" s="377"/>
      <c r="O63" s="377"/>
      <c r="P63" s="377"/>
    </row>
    <row r="64" spans="2:16" ht="19.25" customHeight="1" thickBot="1" x14ac:dyDescent="0.5">
      <c r="B64" s="385" t="s">
        <v>1030</v>
      </c>
      <c r="C64" s="427" t="s">
        <v>1021</v>
      </c>
      <c r="D64" s="427"/>
      <c r="E64" s="427"/>
      <c r="F64" s="427"/>
      <c r="G64" s="427"/>
      <c r="H64" s="427"/>
      <c r="I64" s="427"/>
      <c r="J64" s="427"/>
      <c r="K64" s="427"/>
      <c r="L64" s="427"/>
      <c r="M64" s="427"/>
      <c r="N64" s="427"/>
      <c r="O64" s="427"/>
      <c r="P64" s="427"/>
    </row>
    <row r="65" spans="2:16" ht="28.9" thickBot="1" x14ac:dyDescent="0.5">
      <c r="B65" s="386" t="s">
        <v>1031</v>
      </c>
      <c r="C65" s="427" t="s">
        <v>1021</v>
      </c>
      <c r="D65" s="427"/>
      <c r="E65" s="427"/>
      <c r="F65" s="427"/>
      <c r="G65" s="427"/>
      <c r="H65" s="427"/>
      <c r="I65" s="427"/>
      <c r="J65" s="427"/>
      <c r="K65" s="427"/>
      <c r="L65" s="427"/>
      <c r="M65" s="427"/>
      <c r="N65" s="427"/>
      <c r="O65" s="427"/>
      <c r="P65" s="427"/>
    </row>
    <row r="66" spans="2:16" ht="14.65" thickBot="1" x14ac:dyDescent="0.5">
      <c r="B66" s="387" t="s">
        <v>1032</v>
      </c>
      <c r="C66" s="427" t="s">
        <v>1022</v>
      </c>
      <c r="D66" s="427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</row>
    <row r="68" spans="2:16" ht="15.75" x14ac:dyDescent="0.45">
      <c r="B68" s="267" t="s">
        <v>845</v>
      </c>
      <c r="C68" s="262"/>
      <c r="D68" s="262"/>
      <c r="E68" s="262"/>
    </row>
    <row r="70" spans="2:16" ht="17" customHeight="1" x14ac:dyDescent="0.45">
      <c r="B70" s="281" t="s">
        <v>835</v>
      </c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O70" s="221"/>
      <c r="P70" s="221"/>
    </row>
    <row r="71" spans="2:16" x14ac:dyDescent="0.45">
      <c r="B71" s="265" t="s">
        <v>856</v>
      </c>
    </row>
    <row r="72" spans="2:16" x14ac:dyDescent="0.45">
      <c r="B72" s="265" t="s">
        <v>857</v>
      </c>
    </row>
  </sheetData>
  <mergeCells count="13">
    <mergeCell ref="C40:P40"/>
    <mergeCell ref="C39:P39"/>
    <mergeCell ref="B54:O54"/>
    <mergeCell ref="C66:P66"/>
    <mergeCell ref="B47:P47"/>
    <mergeCell ref="B48:P48"/>
    <mergeCell ref="B53:P53"/>
    <mergeCell ref="B57:P57"/>
    <mergeCell ref="C64:P64"/>
    <mergeCell ref="B62:B63"/>
    <mergeCell ref="C61:P61"/>
    <mergeCell ref="C60:P60"/>
    <mergeCell ref="C65:P6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02EC-47EC-494C-8EA0-A2023045B827}">
  <sheetPr>
    <tabColor theme="4" tint="-0.499984740745262"/>
  </sheetPr>
  <dimension ref="A1"/>
  <sheetViews>
    <sheetView workbookViewId="0"/>
  </sheetViews>
  <sheetFormatPr defaultColWidth="8.86328125" defaultRowHeight="14.25" x14ac:dyDescent="0.45"/>
  <cols>
    <col min="1" max="16384" width="8.86328125" style="246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BA6F-3306-4E55-97A6-B57AE95C9107}">
  <sheetPr>
    <tabColor theme="7"/>
  </sheetPr>
  <dimension ref="A1:R16"/>
  <sheetViews>
    <sheetView showGridLines="0" workbookViewId="0"/>
  </sheetViews>
  <sheetFormatPr defaultColWidth="8.86328125" defaultRowHeight="14.25" x14ac:dyDescent="0.45"/>
  <cols>
    <col min="2" max="2" width="13.46484375" customWidth="1"/>
    <col min="3" max="3" width="24.46484375" hidden="1" customWidth="1"/>
    <col min="4" max="4" width="14" hidden="1" customWidth="1"/>
    <col min="5" max="5" width="21" customWidth="1"/>
    <col min="6" max="6" width="14.1328125" customWidth="1"/>
    <col min="7" max="7" width="14.53125" customWidth="1"/>
    <col min="8" max="8" width="22.1328125" customWidth="1"/>
    <col min="9" max="9" width="21.19921875" customWidth="1"/>
    <col min="10" max="10" width="12.53125" customWidth="1"/>
    <col min="11" max="11" width="16" customWidth="1"/>
    <col min="12" max="12" width="25.796875" customWidth="1"/>
    <col min="13" max="13" width="14.33203125" customWidth="1"/>
    <col min="14" max="15" width="12.796875" customWidth="1"/>
    <col min="16" max="16" width="13.53125" customWidth="1"/>
  </cols>
  <sheetData>
    <row r="1" spans="1:18" s="69" customFormat="1" ht="18.399999999999999" thickBot="1" x14ac:dyDescent="0.6">
      <c r="A1" s="70" t="s">
        <v>889</v>
      </c>
    </row>
    <row r="3" spans="1:18" ht="14.65" thickBot="1" x14ac:dyDescent="0.5"/>
    <row r="4" spans="1:18" ht="14.45" customHeight="1" thickBot="1" x14ac:dyDescent="0.5">
      <c r="E4" s="397" t="s">
        <v>1033</v>
      </c>
      <c r="F4" s="393" t="s">
        <v>1029</v>
      </c>
      <c r="G4" s="392"/>
      <c r="H4" s="392"/>
      <c r="I4" s="392"/>
      <c r="J4" s="394" t="s">
        <v>1030</v>
      </c>
      <c r="K4" s="394"/>
      <c r="L4" s="394"/>
      <c r="M4" s="395" t="s">
        <v>1031</v>
      </c>
      <c r="N4" s="386"/>
      <c r="O4" s="386"/>
      <c r="P4" s="396" t="s">
        <v>1032</v>
      </c>
      <c r="Q4" s="387"/>
      <c r="R4" s="387"/>
    </row>
    <row r="5" spans="1:18" x14ac:dyDescent="0.45">
      <c r="B5" s="315" t="s">
        <v>41</v>
      </c>
      <c r="C5" s="315"/>
      <c r="D5" s="315"/>
      <c r="E5" s="315" t="s">
        <v>997</v>
      </c>
      <c r="F5" s="315" t="s">
        <v>181</v>
      </c>
      <c r="G5" s="315" t="s">
        <v>182</v>
      </c>
      <c r="H5" s="315" t="s">
        <v>895</v>
      </c>
      <c r="I5" s="315" t="s">
        <v>896</v>
      </c>
      <c r="J5" s="315" t="s">
        <v>890</v>
      </c>
      <c r="K5" s="315" t="s">
        <v>891</v>
      </c>
      <c r="L5" s="315" t="s">
        <v>908</v>
      </c>
      <c r="M5" s="315" t="s">
        <v>892</v>
      </c>
      <c r="N5" s="315" t="s">
        <v>893</v>
      </c>
      <c r="O5" s="315" t="s">
        <v>909</v>
      </c>
      <c r="P5" s="315" t="s">
        <v>894</v>
      </c>
      <c r="Q5" s="315" t="s">
        <v>906</v>
      </c>
      <c r="R5" s="315" t="s">
        <v>910</v>
      </c>
    </row>
    <row r="6" spans="1:18" x14ac:dyDescent="0.45">
      <c r="B6" s="316" t="s">
        <v>86</v>
      </c>
      <c r="C6" s="252" t="s">
        <v>0</v>
      </c>
      <c r="D6" s="318">
        <f>'Cenario B benchmark va'!F30</f>
        <v>-5.3219352155050581E-3</v>
      </c>
      <c r="E6" s="398">
        <f>'Cenario A ranking setor PIB'!L9</f>
        <v>3.8028155733064173E-2</v>
      </c>
      <c r="F6" s="317">
        <f>'Cenario B benchmark va'!I31</f>
        <v>4.0751439561461716E-3</v>
      </c>
      <c r="G6" s="317">
        <f>'Cenario B benchmark va'!J31</f>
        <v>1.5954063070349654E-2</v>
      </c>
      <c r="H6" s="317">
        <f>F6-$D6</f>
        <v>9.3970791716512306E-3</v>
      </c>
      <c r="I6" s="375">
        <f>G6-$D6</f>
        <v>2.1275998285854712E-2</v>
      </c>
      <c r="J6" s="14">
        <f>AVERAGEIF('Base de dados IHS'!$B$2:$B$676,C6,'Base de dados IHS'!$K$2:$K$676)</f>
        <v>0.14617066851873287</v>
      </c>
      <c r="K6" s="131">
        <f>(J6+1)^(1/6)-1</f>
        <v>2.2998228642309604E-2</v>
      </c>
      <c r="L6" s="308">
        <f>K6-D6</f>
        <v>2.8320163857814662E-2</v>
      </c>
      <c r="M6" s="14">
        <f>_xlfn.MAXIFS('Base de dados IHS'!$K$2:$K$676,'Base de dados IHS'!$B$2:$B$676,C6)</f>
        <v>0.6649052051061437</v>
      </c>
      <c r="N6" s="131">
        <f>(M6+1)^(1/6)-1</f>
        <v>8.8675004553541159E-2</v>
      </c>
      <c r="O6" s="308">
        <f>N6-D6</f>
        <v>9.3996939769046217E-2</v>
      </c>
      <c r="P6" s="14">
        <f>QUARTILE(Food!$I$2:$I$76,1)</f>
        <v>5.8747024725398833E-2</v>
      </c>
      <c r="Q6" s="131">
        <f>(P6+1)^(1/6)-1</f>
        <v>9.5597648721483797E-3</v>
      </c>
      <c r="R6" s="308">
        <f>Q6-D6</f>
        <v>1.4881700087653438E-2</v>
      </c>
    </row>
    <row r="7" spans="1:18" x14ac:dyDescent="0.45">
      <c r="B7" s="316" t="s">
        <v>87</v>
      </c>
      <c r="C7" s="252" t="s">
        <v>1</v>
      </c>
      <c r="D7" s="318">
        <f>'Cenario B benchmark va'!F46</f>
        <v>6.7735056871887078E-3</v>
      </c>
      <c r="E7" s="398">
        <f>'Cenario A ranking setor PIB'!L23</f>
        <v>3.4275180972928698E-2</v>
      </c>
      <c r="F7" s="317">
        <f>'Cenario B benchmark va'!I47</f>
        <v>1.067932967906373E-2</v>
      </c>
      <c r="G7" s="317">
        <f>'Cenario B benchmark va'!J47</f>
        <v>1.8334717724227869E-2</v>
      </c>
      <c r="H7" s="317">
        <f t="shared" ref="H7:H14" si="0">F7-$D7</f>
        <v>3.9058239918750223E-3</v>
      </c>
      <c r="I7" s="375">
        <f t="shared" ref="I7:I14" si="1">G7-$D7</f>
        <v>1.1561212037039161E-2</v>
      </c>
      <c r="J7" s="14">
        <f>AVERAGEIF('Base de dados IHS'!$B$2:$B$676,C7,'Base de dados IHS'!$K$2:$K$676)</f>
        <v>0.15008879097842376</v>
      </c>
      <c r="K7" s="131">
        <f t="shared" ref="K7:K14" si="2">(J7+1)^(1/6)-1</f>
        <v>2.3580244219342905E-2</v>
      </c>
      <c r="L7" s="308">
        <f t="shared" ref="L7:L14" si="3">K7-D7</f>
        <v>1.6806738532154197E-2</v>
      </c>
      <c r="M7" s="14">
        <f>_xlfn.MAXIFS('Base de dados IHS'!$K$2:$K$676,'Base de dados IHS'!$B$2:$B$676,C7)</f>
        <v>0.81985819205836652</v>
      </c>
      <c r="N7" s="131">
        <f t="shared" ref="N7:Q14" si="4">(M7+1)^(1/6)-1</f>
        <v>0.10494227847773652</v>
      </c>
      <c r="O7" s="308">
        <f t="shared" ref="O7:O14" si="5">N7-D7</f>
        <v>9.8168772790547809E-2</v>
      </c>
      <c r="P7" s="14">
        <f>QUARTILE(Chemical!$I$2:$I$76,1)</f>
        <v>5.5609873875430593E-2</v>
      </c>
      <c r="Q7" s="131">
        <f t="shared" si="4"/>
        <v>9.060580695068321E-3</v>
      </c>
      <c r="R7" s="308">
        <f t="shared" ref="R7:R14" si="6">Q7-D7</f>
        <v>2.2870750078796132E-3</v>
      </c>
    </row>
    <row r="8" spans="1:18" x14ac:dyDescent="0.45">
      <c r="B8" s="316" t="s">
        <v>88</v>
      </c>
      <c r="C8" s="252" t="s">
        <v>3</v>
      </c>
      <c r="D8" s="318">
        <f>'Cenario B benchmark va'!F61</f>
        <v>1.0101891247594974E-2</v>
      </c>
      <c r="E8" s="398">
        <f>'Cenario A ranking setor PIB'!L37</f>
        <v>3.9943307061982347E-2</v>
      </c>
      <c r="F8" s="317">
        <f>'Cenario B benchmark va'!I62</f>
        <v>2.1596833125065794E-2</v>
      </c>
      <c r="G8" s="317">
        <f>'Cenario B benchmark va'!J62</f>
        <v>5.5946324107785564E-2</v>
      </c>
      <c r="H8" s="317">
        <f t="shared" si="0"/>
        <v>1.149494187747082E-2</v>
      </c>
      <c r="I8" s="375">
        <f t="shared" si="1"/>
        <v>4.584443286019059E-2</v>
      </c>
      <c r="J8" s="14">
        <f>AVERAGEIF('Base de dados IHS'!$B$2:$B$676,C8,'Base de dados IHS'!$K$2:$K$676)</f>
        <v>0.1099897773571783</v>
      </c>
      <c r="K8" s="131">
        <f t="shared" si="2"/>
        <v>1.7543918907909628E-2</v>
      </c>
      <c r="L8" s="308">
        <f t="shared" si="3"/>
        <v>7.442027660314654E-3</v>
      </c>
      <c r="M8" s="14">
        <f>_xlfn.MAXIFS('Base de dados IHS'!$K$2:$K$676,'Base de dados IHS'!$B$2:$B$676,C8)</f>
        <v>1.5487917737443704</v>
      </c>
      <c r="N8" s="131">
        <f t="shared" si="4"/>
        <v>0.16875206926249775</v>
      </c>
      <c r="O8" s="308">
        <f t="shared" si="5"/>
        <v>0.15865017801490278</v>
      </c>
      <c r="P8" s="14">
        <f>QUARTILE('Basic metals'!$I$2:$I$76,1)</f>
        <v>-4.6433094048742074E-2</v>
      </c>
      <c r="Q8" s="131">
        <f t="shared" si="4"/>
        <v>-7.8929669195075824E-3</v>
      </c>
      <c r="R8" s="308">
        <f t="shared" si="6"/>
        <v>-1.7994858167102556E-2</v>
      </c>
    </row>
    <row r="9" spans="1:18" x14ac:dyDescent="0.45">
      <c r="B9" s="316" t="s">
        <v>89</v>
      </c>
      <c r="C9" s="252" t="s">
        <v>7</v>
      </c>
      <c r="D9" s="318">
        <f>'Cenario B benchmark va'!F76</f>
        <v>1.1887728450826085E-2</v>
      </c>
      <c r="E9" s="398">
        <f>'Cenario A ranking setor PIB'!L51</f>
        <v>4.4525545005068556E-2</v>
      </c>
      <c r="F9" s="317">
        <f>'Cenario B benchmark va'!I77</f>
        <v>1.2422548448884957E-2</v>
      </c>
      <c r="G9" s="317">
        <f>'Cenario B benchmark va'!J77</f>
        <v>2.8240946474098732E-2</v>
      </c>
      <c r="H9" s="317">
        <f t="shared" si="0"/>
        <v>5.3481999805887227E-4</v>
      </c>
      <c r="I9" s="375">
        <f t="shared" si="1"/>
        <v>1.6353218023272647E-2</v>
      </c>
      <c r="J9" s="14">
        <f>AVERAGEIF('Base de dados IHS'!$B$2:$B$676,C9,'Base de dados IHS'!$K$2:$K$676)</f>
        <v>0.12062702475323196</v>
      </c>
      <c r="K9" s="131">
        <f t="shared" si="2"/>
        <v>1.9162687289990155E-2</v>
      </c>
      <c r="L9" s="308">
        <f t="shared" si="3"/>
        <v>7.2749588391640696E-3</v>
      </c>
      <c r="M9" s="14">
        <f>_xlfn.MAXIFS('Base de dados IHS'!$K$2:$K$676,'Base de dados IHS'!$B$2:$B$676,C9)</f>
        <v>0.75466345546858937</v>
      </c>
      <c r="N9" s="131">
        <f t="shared" si="4"/>
        <v>9.8244335244885628E-2</v>
      </c>
      <c r="O9" s="308">
        <f t="shared" si="5"/>
        <v>8.6356606794059543E-2</v>
      </c>
      <c r="P9" s="14">
        <f>QUARTILE('Motor vehicles'!$I$2:$I$76,1)</f>
        <v>-9.2576450300912438E-3</v>
      </c>
      <c r="Q9" s="131">
        <f t="shared" si="4"/>
        <v>-1.5489263980549284E-3</v>
      </c>
      <c r="R9" s="308">
        <f t="shared" si="6"/>
        <v>-1.3436654848881013E-2</v>
      </c>
    </row>
    <row r="10" spans="1:18" x14ac:dyDescent="0.45">
      <c r="B10" s="316" t="s">
        <v>90</v>
      </c>
      <c r="C10" s="252" t="s">
        <v>6</v>
      </c>
      <c r="D10" s="318">
        <f>'Cenario B benchmark va'!F91</f>
        <v>5.6293985153554882E-3</v>
      </c>
      <c r="E10" s="398">
        <f>'Cenario A ranking setor PIB'!L65</f>
        <v>6.202905885973542E-2</v>
      </c>
      <c r="F10" s="317">
        <f>'Cenario B benchmark va'!I92</f>
        <v>8.5656272878374892E-3</v>
      </c>
      <c r="G10" s="317">
        <f>'Cenario B benchmark va'!J92</f>
        <v>1.8902347707734638E-2</v>
      </c>
      <c r="H10" s="317">
        <f t="shared" si="0"/>
        <v>2.936228772482001E-3</v>
      </c>
      <c r="I10" s="375">
        <f t="shared" si="1"/>
        <v>1.327294919237915E-2</v>
      </c>
      <c r="J10" s="14">
        <f>AVERAGEIF('Base de dados IHS'!$B$2:$B$676,C10,'Base de dados IHS'!$K$2:$K$676)</f>
        <v>0.16509523262925332</v>
      </c>
      <c r="K10" s="131">
        <f t="shared" si="2"/>
        <v>2.5794196139982795E-2</v>
      </c>
      <c r="L10" s="308">
        <f t="shared" si="3"/>
        <v>2.0164797624627306E-2</v>
      </c>
      <c r="M10" s="14">
        <f>_xlfn.MAXIFS('Base de dados IHS'!$K$2:$K$676,'Base de dados IHS'!$B$2:$B$676,C10)</f>
        <v>1.5426863722366631</v>
      </c>
      <c r="N10" s="131">
        <f t="shared" si="4"/>
        <v>0.16828499611718284</v>
      </c>
      <c r="O10" s="308">
        <f t="shared" si="5"/>
        <v>0.16265559760182735</v>
      </c>
      <c r="P10" s="14">
        <f>QUARTILE(Machinery!$I$2:$I$76,1)</f>
        <v>2.5961345608591646E-2</v>
      </c>
      <c r="Q10" s="131">
        <f t="shared" si="4"/>
        <v>4.2808151559214913E-3</v>
      </c>
      <c r="R10" s="308">
        <f t="shared" si="6"/>
        <v>-1.3485833594339969E-3</v>
      </c>
    </row>
    <row r="11" spans="1:18" x14ac:dyDescent="0.45">
      <c r="B11" s="316" t="s">
        <v>91</v>
      </c>
      <c r="C11" s="252" t="s">
        <v>5</v>
      </c>
      <c r="D11" s="318">
        <f>'Cenario B benchmark va'!F106</f>
        <v>-1.3699632196883416E-2</v>
      </c>
      <c r="E11" s="398">
        <f>'Cenario A ranking setor PIB'!L79</f>
        <v>8.1555588293353853E-2</v>
      </c>
      <c r="F11" s="317">
        <f>'Cenario B benchmark va'!I107</f>
        <v>2.2902053106210012E-2</v>
      </c>
      <c r="G11" s="317">
        <f>'Cenario B benchmark va'!J107</f>
        <v>3.8275768281805719E-2</v>
      </c>
      <c r="H11" s="317">
        <f t="shared" si="0"/>
        <v>3.6601685303093427E-2</v>
      </c>
      <c r="I11" s="375">
        <f t="shared" si="1"/>
        <v>5.1975400478689135E-2</v>
      </c>
      <c r="J11" s="14">
        <f>AVERAGEIF('Base de dados IHS'!$B$2:$B$676,C11,'Base de dados IHS'!$K$2:$K$676)</f>
        <v>0.13650492892516228</v>
      </c>
      <c r="K11" s="131">
        <f t="shared" si="2"/>
        <v>2.1555313948818933E-2</v>
      </c>
      <c r="L11" s="308">
        <f t="shared" si="3"/>
        <v>3.5254946145702348E-2</v>
      </c>
      <c r="M11" s="14">
        <f>_xlfn.MAXIFS('Base de dados IHS'!$K$2:$K$676,'Base de dados IHS'!$B$2:$B$676,C11)</f>
        <v>0.81753098021147541</v>
      </c>
      <c r="N11" s="131">
        <f t="shared" si="4"/>
        <v>0.10470665517695221</v>
      </c>
      <c r="O11" s="308">
        <f t="shared" si="5"/>
        <v>0.11840628737383563</v>
      </c>
      <c r="P11" s="14">
        <f>QUARTILE(Eletrical!$I$2:$I$76,1)</f>
        <v>-1.6831179793556972E-2</v>
      </c>
      <c r="Q11" s="131">
        <f t="shared" si="4"/>
        <v>-2.8250742457464062E-3</v>
      </c>
      <c r="R11" s="308">
        <f t="shared" si="6"/>
        <v>1.0874557951137009E-2</v>
      </c>
    </row>
    <row r="12" spans="1:18" x14ac:dyDescent="0.45">
      <c r="B12" s="316" t="s">
        <v>92</v>
      </c>
      <c r="C12" s="252" t="s">
        <v>2</v>
      </c>
      <c r="D12" s="318">
        <f>'Cenario B benchmark va'!F121</f>
        <v>-1.0072213161012922E-2</v>
      </c>
      <c r="E12" s="398">
        <f>'Cenario A ranking setor PIB'!L93</f>
        <v>0.16119199506367798</v>
      </c>
      <c r="F12" s="317">
        <f>'Cenario B benchmark va'!I122</f>
        <v>8.3612123430180964E-3</v>
      </c>
      <c r="G12" s="317">
        <f>'Cenario B benchmark va'!J122</f>
        <v>2.9226136097135608E-2</v>
      </c>
      <c r="H12" s="317">
        <f t="shared" si="0"/>
        <v>1.8433425504031018E-2</v>
      </c>
      <c r="I12" s="375">
        <f t="shared" si="1"/>
        <v>3.9298349258148527E-2</v>
      </c>
      <c r="J12" s="14">
        <f>AVERAGEIF('Base de dados IHS'!$B$2:$B$676,C12,'Base de dados IHS'!$K$2:$K$676)</f>
        <v>0.2716933440910968</v>
      </c>
      <c r="K12" s="131">
        <f t="shared" si="2"/>
        <v>4.0871377886311455E-2</v>
      </c>
      <c r="L12" s="308">
        <f t="shared" si="3"/>
        <v>5.0943591047324377E-2</v>
      </c>
      <c r="M12" s="14">
        <f>_xlfn.MAXIFS('Base de dados IHS'!$K$2:$K$676,'Base de dados IHS'!$B$2:$B$676,C12)</f>
        <v>1.8679061536988568</v>
      </c>
      <c r="N12" s="131">
        <f t="shared" si="4"/>
        <v>0.19195764273076454</v>
      </c>
      <c r="O12" s="308">
        <f t="shared" si="5"/>
        <v>0.20202985589177747</v>
      </c>
      <c r="P12" s="14">
        <f>QUARTILE(Eletronic!$I$2:$I$76,1)</f>
        <v>-1.8948619666166455E-3</v>
      </c>
      <c r="Q12" s="131">
        <f t="shared" si="4"/>
        <v>-3.1605995729433456E-4</v>
      </c>
      <c r="R12" s="308">
        <f t="shared" si="6"/>
        <v>9.7561532037185872E-3</v>
      </c>
    </row>
    <row r="13" spans="1:18" x14ac:dyDescent="0.45">
      <c r="B13" s="316" t="s">
        <v>93</v>
      </c>
      <c r="C13" s="252" t="s">
        <v>8</v>
      </c>
      <c r="D13" s="328">
        <v>0</v>
      </c>
      <c r="E13" s="398">
        <f>'Cenario A ranking setor PIB'!L107</f>
        <v>5.2592974082459554E-2</v>
      </c>
      <c r="F13" s="317">
        <f>'Cenario B benchmark va'!I137</f>
        <v>5.9615211794127675E-2</v>
      </c>
      <c r="G13" s="317">
        <f>'Cenario B benchmark va'!J137</f>
        <v>0.13164590161622911</v>
      </c>
      <c r="H13" s="317">
        <f t="shared" si="0"/>
        <v>5.9615211794127675E-2</v>
      </c>
      <c r="I13" s="375">
        <f t="shared" si="1"/>
        <v>0.13164590161622911</v>
      </c>
      <c r="J13" s="14">
        <f>AVERAGEIF('Base de dados IHS'!$B$2:$B$676,C13,'Base de dados IHS'!$K$2:$K$676)</f>
        <v>0.11103357770990224</v>
      </c>
      <c r="K13" s="131">
        <f t="shared" si="2"/>
        <v>1.770333430742177E-2</v>
      </c>
      <c r="L13" s="308">
        <f t="shared" si="3"/>
        <v>1.770333430742177E-2</v>
      </c>
      <c r="M13" s="14">
        <f>_xlfn.MAXIFS('Base de dados IHS'!$K$2:$K$676,'Base de dados IHS'!$B$2:$B$676,C13)</f>
        <v>0.84546663452609261</v>
      </c>
      <c r="N13" s="131">
        <f t="shared" si="4"/>
        <v>0.10751861101708293</v>
      </c>
      <c r="O13" s="308">
        <f t="shared" si="5"/>
        <v>0.10751861101708293</v>
      </c>
      <c r="P13" s="14">
        <f>QUARTILE('Other transport'!$I$2:$I$76,1)</f>
        <v>-3.8404067631291394E-2</v>
      </c>
      <c r="Q13" s="131">
        <f t="shared" si="4"/>
        <v>-6.5055707598306034E-3</v>
      </c>
      <c r="R13" s="308">
        <f t="shared" si="6"/>
        <v>-6.5055707598306034E-3</v>
      </c>
    </row>
    <row r="14" spans="1:18" x14ac:dyDescent="0.45">
      <c r="B14" s="316" t="s">
        <v>94</v>
      </c>
      <c r="C14" s="252" t="s">
        <v>4</v>
      </c>
      <c r="D14" s="318">
        <f>'Cenario B benchmark va'!F151</f>
        <v>-8.5741752371948365E-3</v>
      </c>
      <c r="E14" s="398">
        <f>'Cenario A ranking setor PIB'!L121</f>
        <v>0.23423273945647138</v>
      </c>
      <c r="F14" s="317">
        <f>'Cenario B benchmark va'!I152</f>
        <v>3.4794827205848378E-3</v>
      </c>
      <c r="G14" s="317">
        <f>'Cenario B benchmark va'!J152</f>
        <v>1.6507084741978244E-2</v>
      </c>
      <c r="H14" s="317">
        <f t="shared" si="0"/>
        <v>1.2053657957779674E-2</v>
      </c>
      <c r="I14" s="375">
        <f t="shared" si="1"/>
        <v>2.5081259979173081E-2</v>
      </c>
      <c r="J14" s="14">
        <f>AVERAGEIF('Base de dados IHS'!$B$2:$B$676,C14,'Base de dados IHS'!$K$2:$K$676)</f>
        <v>0.21022256791484298</v>
      </c>
      <c r="K14" s="131">
        <f t="shared" si="2"/>
        <v>3.2311759371816295E-2</v>
      </c>
      <c r="L14" s="308">
        <f t="shared" si="3"/>
        <v>4.0885934609011132E-2</v>
      </c>
      <c r="M14" s="14">
        <f>_xlfn.MAXIFS('Base de dados IHS'!$K$2:$K$676,'Base de dados IHS'!$B$2:$B$676,C14)</f>
        <v>1.0039179647771403</v>
      </c>
      <c r="N14" s="131">
        <f t="shared" si="4"/>
        <v>0.12282823009399868</v>
      </c>
      <c r="O14" s="308">
        <f t="shared" si="5"/>
        <v>0.13140240533119352</v>
      </c>
      <c r="P14" s="14">
        <f>QUARTILE(Eletronic!$I$2:$I$76,1)</f>
        <v>-1.8948619666166455E-3</v>
      </c>
      <c r="Q14" s="131">
        <f t="shared" si="4"/>
        <v>-3.1605995729433456E-4</v>
      </c>
      <c r="R14" s="308">
        <f t="shared" si="6"/>
        <v>8.258115279900502E-3</v>
      </c>
    </row>
    <row r="16" spans="1:18" x14ac:dyDescent="0.45">
      <c r="B16" s="329"/>
      <c r="C16" s="249"/>
      <c r="D16" s="33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86B4-1392-4D69-8977-CF3A0C43DC34}">
  <sheetPr>
    <tabColor theme="4" tint="0.39997558519241921"/>
  </sheetPr>
  <dimension ref="A1:L128"/>
  <sheetViews>
    <sheetView showGridLines="0" zoomScale="115" zoomScaleNormal="115" workbookViewId="0"/>
  </sheetViews>
  <sheetFormatPr defaultColWidth="8.86328125" defaultRowHeight="14.25" x14ac:dyDescent="0.45"/>
  <cols>
    <col min="3" max="6" width="14.796875" customWidth="1"/>
    <col min="7" max="8" width="13.1328125" customWidth="1"/>
    <col min="9" max="9" width="23.86328125" customWidth="1"/>
    <col min="11" max="11" width="13" customWidth="1"/>
    <col min="12" max="12" width="15.33203125" customWidth="1"/>
  </cols>
  <sheetData>
    <row r="1" spans="1:12" s="69" customFormat="1" ht="22.25" customHeight="1" thickBot="1" x14ac:dyDescent="0.6">
      <c r="A1" s="70" t="s">
        <v>934</v>
      </c>
    </row>
    <row r="2" spans="1:12" ht="15" customHeight="1" x14ac:dyDescent="0.45"/>
    <row r="3" spans="1:12" ht="15" customHeight="1" x14ac:dyDescent="0.45">
      <c r="K3" t="s">
        <v>991</v>
      </c>
      <c r="L3" s="401">
        <v>2462552.92</v>
      </c>
    </row>
    <row r="4" spans="1:12" x14ac:dyDescent="0.45">
      <c r="B4" s="337" t="s">
        <v>935</v>
      </c>
    </row>
    <row r="5" spans="1:12" x14ac:dyDescent="0.45">
      <c r="B5" s="30" t="s">
        <v>54</v>
      </c>
      <c r="C5" s="30" t="s">
        <v>961</v>
      </c>
      <c r="D5" s="30" t="s">
        <v>962</v>
      </c>
      <c r="E5" s="30" t="s">
        <v>963</v>
      </c>
      <c r="F5" s="30" t="s">
        <v>964</v>
      </c>
      <c r="G5" s="334" t="s">
        <v>930</v>
      </c>
      <c r="H5" s="334" t="s">
        <v>931</v>
      </c>
      <c r="I5" s="334" t="s">
        <v>980</v>
      </c>
      <c r="K5" s="358" t="s">
        <v>986</v>
      </c>
      <c r="L5" s="359">
        <f>AVERAGE(I6:I15)</f>
        <v>2.1458313617283317E-3</v>
      </c>
    </row>
    <row r="6" spans="1:12" x14ac:dyDescent="0.45">
      <c r="B6" s="293" t="s">
        <v>75</v>
      </c>
      <c r="C6" s="311">
        <f>INDEX(Food!$A$1:$T$76,MATCH(B6,Food!$A$1:$A$76,0),7)</f>
        <v>39588.217762339998</v>
      </c>
      <c r="D6" s="311">
        <f>INDEX(Food!$A$1:$T$76,MATCH(B6,Food!$A$1:$A$76,0),8)</f>
        <v>45837.06156414</v>
      </c>
      <c r="E6" s="311">
        <f>INDEX(Food!$A$1:$T$76,MATCH(B6,Food!$A$1:$A$76,0),15)</f>
        <v>1239119.2771185001</v>
      </c>
      <c r="F6" s="311">
        <f>INDEX(Food!$A$1:$T$76,MATCH(B6,Food!$A$1:$A$76,0),16)</f>
        <v>1262038.2891611001</v>
      </c>
      <c r="G6" s="347">
        <f>INDEX(Food!$A$1:$T$76,MATCH(B6,Food!$A$1:$A$76,0),17)</f>
        <v>3.1948673943964535E-2</v>
      </c>
      <c r="H6" s="347">
        <f>INDEX(Food!$A$1:$T$76,MATCH(B6,Food!$A$1:$A$76,0),18)</f>
        <v>3.6319866011837669E-2</v>
      </c>
      <c r="I6" s="347">
        <f>INDEX(Food!$A$1:$T$76,MATCH(B6,Food!$A$1:$A$76,0),19)</f>
        <v>4.3711920678731336E-3</v>
      </c>
      <c r="K6" s="358" t="s">
        <v>992</v>
      </c>
      <c r="L6" s="359">
        <f>H16+L5</f>
        <v>2.9486782150533315E-2</v>
      </c>
    </row>
    <row r="7" spans="1:12" x14ac:dyDescent="0.45">
      <c r="B7" s="293" t="s">
        <v>177</v>
      </c>
      <c r="C7" s="311">
        <f>INDEX(Food!$A$1:$T$76,MATCH(B7,Food!$A$1:$A$76,0),7)</f>
        <v>1039.9173115599999</v>
      </c>
      <c r="D7" s="311">
        <f>INDEX(Food!$A$1:$T$76,MATCH(B7,Food!$A$1:$A$76,0),8)</f>
        <v>1318.7880281600001</v>
      </c>
      <c r="E7" s="311">
        <f>INDEX(Food!$A$1:$T$76,MATCH(B7,Food!$A$1:$A$76,0),15)</f>
        <v>35334.894672080001</v>
      </c>
      <c r="F7" s="311">
        <f>INDEX(Food!$A$1:$T$76,MATCH(B7,Food!$A$1:$A$76,0),16)</f>
        <v>39600.741188879998</v>
      </c>
      <c r="G7" s="347">
        <f>INDEX(Food!$A$1:$T$76,MATCH(B7,Food!$A$1:$A$76,0),17)</f>
        <v>2.9430321533735728E-2</v>
      </c>
      <c r="H7" s="347">
        <f>INDEX(Food!$A$1:$T$76,MATCH(B7,Food!$A$1:$A$76,0),18)</f>
        <v>3.3302104671978201E-2</v>
      </c>
      <c r="I7" s="347">
        <f>INDEX(Food!$A$1:$T$76,MATCH(B7,Food!$A$1:$A$76,0),19)</f>
        <v>3.8717831382424732E-3</v>
      </c>
      <c r="K7" s="358" t="s">
        <v>996</v>
      </c>
      <c r="L7" s="363">
        <f>D16</f>
        <v>51895.62553456</v>
      </c>
    </row>
    <row r="8" spans="1:12" x14ac:dyDescent="0.45">
      <c r="B8" s="293" t="s">
        <v>99</v>
      </c>
      <c r="C8" s="311">
        <f>INDEX(Food!$A$1:$T$76,MATCH(B8,Food!$A$1:$A$76,0),7)</f>
        <v>32607.318518259999</v>
      </c>
      <c r="D8" s="311">
        <f>INDEX(Food!$A$1:$T$76,MATCH(B8,Food!$A$1:$A$76,0),8)</f>
        <v>44543.688860200004</v>
      </c>
      <c r="E8" s="311">
        <f>INDEX(Food!$A$1:$T$76,MATCH(B8,Food!$A$1:$A$76,0),15)</f>
        <v>917924.88667253999</v>
      </c>
      <c r="F8" s="311">
        <f>INDEX(Food!$A$1:$T$76,MATCH(B8,Food!$A$1:$A$76,0),16)</f>
        <v>1136354.4627425</v>
      </c>
      <c r="G8" s="347">
        <f>INDEX(Food!$A$1:$T$76,MATCH(B8,Food!$A$1:$A$76,0),17)</f>
        <v>3.552286139278879E-2</v>
      </c>
      <c r="H8" s="347">
        <f>INDEX(Food!$A$1:$T$76,MATCH(B8,Food!$A$1:$A$76,0),18)</f>
        <v>3.9198762640221783E-2</v>
      </c>
      <c r="I8" s="347">
        <f>INDEX(Food!$A$1:$T$76,MATCH(B8,Food!$A$1:$A$76,0),19)</f>
        <v>3.675901247432993E-3</v>
      </c>
      <c r="K8" s="358" t="s">
        <v>993</v>
      </c>
      <c r="L8" s="363">
        <f>L6*$L$3</f>
        <v>72612.761486199684</v>
      </c>
    </row>
    <row r="9" spans="1:12" x14ac:dyDescent="0.45">
      <c r="B9" s="293" t="s">
        <v>142</v>
      </c>
      <c r="C9" s="311">
        <f>INDEX(Food!$A$1:$T$76,MATCH(B9,Food!$A$1:$A$76,0),7)</f>
        <v>15163.68110661</v>
      </c>
      <c r="D9" s="311">
        <f>INDEX(Food!$A$1:$T$76,MATCH(B9,Food!$A$1:$A$76,0),8)</f>
        <v>15946.29308705</v>
      </c>
      <c r="E9" s="311">
        <f>INDEX(Food!$A$1:$T$76,MATCH(B9,Food!$A$1:$A$76,0),15)</f>
        <v>464976.94374428003</v>
      </c>
      <c r="F9" s="311">
        <f>INDEX(Food!$A$1:$T$76,MATCH(B9,Food!$A$1:$A$76,0),16)</f>
        <v>445673.70595729002</v>
      </c>
      <c r="G9" s="347">
        <f>INDEX(Food!$A$1:$T$76,MATCH(B9,Food!$A$1:$A$76,0),17)</f>
        <v>3.2611683892329636E-2</v>
      </c>
      <c r="H9" s="347">
        <f>INDEX(Food!$A$1:$T$76,MATCH(B9,Food!$A$1:$A$76,0),18)</f>
        <v>3.578019720234106E-2</v>
      </c>
      <c r="I9" s="347">
        <f>INDEX(Food!$A$1:$T$76,MATCH(B9,Food!$A$1:$A$76,0),19)</f>
        <v>3.1685133100114241E-3</v>
      </c>
      <c r="K9" s="358" t="s">
        <v>39</v>
      </c>
      <c r="L9" s="359">
        <f>(L8/L7)^(1/9)-1</f>
        <v>3.8028155733064173E-2</v>
      </c>
    </row>
    <row r="10" spans="1:12" x14ac:dyDescent="0.45">
      <c r="B10" s="293" t="s">
        <v>172</v>
      </c>
      <c r="C10" s="311">
        <f>INDEX(Food!$A$1:$T$76,MATCH(B10,Food!$A$1:$A$76,0),7)</f>
        <v>1797.4253018100001</v>
      </c>
      <c r="D10" s="311">
        <f>INDEX(Food!$A$1:$T$76,MATCH(B10,Food!$A$1:$A$76,0),8)</f>
        <v>1973.9361016400001</v>
      </c>
      <c r="E10" s="311">
        <f>INDEX(Food!$A$1:$T$76,MATCH(B10,Food!$A$1:$A$76,0),15)</f>
        <v>59449.563607900003</v>
      </c>
      <c r="F10" s="311">
        <f>INDEX(Food!$A$1:$T$76,MATCH(B10,Food!$A$1:$A$76,0),16)</f>
        <v>61243.536031950003</v>
      </c>
      <c r="G10" s="347">
        <f>INDEX(Food!$A$1:$T$76,MATCH(B10,Food!$A$1:$A$76,0),17)</f>
        <v>3.0234457458172961E-2</v>
      </c>
      <c r="H10" s="347">
        <f>INDEX(Food!$A$1:$T$76,MATCH(B10,Food!$A$1:$A$76,0),18)</f>
        <v>3.2230929654522587E-2</v>
      </c>
      <c r="I10" s="347">
        <f>INDEX(Food!$A$1:$T$76,MATCH(B10,Food!$A$1:$A$76,0),19)</f>
        <v>1.9964721963496267E-3</v>
      </c>
    </row>
    <row r="11" spans="1:12" x14ac:dyDescent="0.45">
      <c r="B11" s="293" t="s">
        <v>158</v>
      </c>
      <c r="C11" s="311">
        <f>INDEX(Food!$A$1:$T$76,MATCH(B11,Food!$A$1:$A$76,0),7)</f>
        <v>2559.4237431000001</v>
      </c>
      <c r="D11" s="311">
        <f>INDEX(Food!$A$1:$T$76,MATCH(B11,Food!$A$1:$A$76,0),8)</f>
        <v>3546.79818419</v>
      </c>
      <c r="E11" s="311">
        <f>INDEX(Food!$A$1:$T$76,MATCH(B11,Food!$A$1:$A$76,0),15)</f>
        <v>54050.698328470004</v>
      </c>
      <c r="F11" s="311">
        <f>INDEX(Food!$A$1:$T$76,MATCH(B11,Food!$A$1:$A$76,0),16)</f>
        <v>72367.878986030002</v>
      </c>
      <c r="G11" s="347">
        <f>INDEX(Food!$A$1:$T$76,MATCH(B11,Food!$A$1:$A$76,0),17)</f>
        <v>4.7352278920545984E-2</v>
      </c>
      <c r="H11" s="347">
        <f>INDEX(Food!$A$1:$T$76,MATCH(B11,Food!$A$1:$A$76,0),18)</f>
        <v>4.9010669289819578E-2</v>
      </c>
      <c r="I11" s="347">
        <f>INDEX(Food!$A$1:$T$76,MATCH(B11,Food!$A$1:$A$76,0),19)</f>
        <v>1.6583903692735935E-3</v>
      </c>
    </row>
    <row r="12" spans="1:12" x14ac:dyDescent="0.45">
      <c r="B12" s="293" t="s">
        <v>102</v>
      </c>
      <c r="C12" s="311">
        <f>INDEX(Food!$A$1:$T$76,MATCH(B12,Food!$A$1:$A$76,0),7)</f>
        <v>17662.58409819</v>
      </c>
      <c r="D12" s="311">
        <f>INDEX(Food!$A$1:$T$76,MATCH(B12,Food!$A$1:$A$76,0),8)</f>
        <v>19315.169739159999</v>
      </c>
      <c r="E12" s="311">
        <f>INDEX(Food!$A$1:$T$76,MATCH(B12,Food!$A$1:$A$76,0),15)</f>
        <v>460034.71302222001</v>
      </c>
      <c r="F12" s="311">
        <f>INDEX(Food!$A$1:$T$76,MATCH(B12,Food!$A$1:$A$76,0),16)</f>
        <v>483780.49839321</v>
      </c>
      <c r="G12" s="347">
        <f>INDEX(Food!$A$1:$T$76,MATCH(B12,Food!$A$1:$A$76,0),17)</f>
        <v>3.8394024620783097E-2</v>
      </c>
      <c r="H12" s="347">
        <f>INDEX(Food!$A$1:$T$76,MATCH(B12,Food!$A$1:$A$76,0),18)</f>
        <v>3.9925482327857087E-2</v>
      </c>
      <c r="I12" s="347">
        <f>INDEX(Food!$A$1:$T$76,MATCH(B12,Food!$A$1:$A$76,0),19)</f>
        <v>1.5314577070739896E-3</v>
      </c>
    </row>
    <row r="13" spans="1:12" x14ac:dyDescent="0.45">
      <c r="B13" s="293" t="s">
        <v>168</v>
      </c>
      <c r="C13" s="311">
        <f>INDEX(Food!$A$1:$T$76,MATCH(B13,Food!$A$1:$A$76,0),7)</f>
        <v>1168.62658263</v>
      </c>
      <c r="D13" s="311">
        <f>INDEX(Food!$A$1:$T$76,MATCH(B13,Food!$A$1:$A$76,0),8)</f>
        <v>1251.8408926300001</v>
      </c>
      <c r="E13" s="311">
        <f>INDEX(Food!$A$1:$T$76,MATCH(B13,Food!$A$1:$A$76,0),15)</f>
        <v>38884.65391288</v>
      </c>
      <c r="F13" s="311">
        <f>INDEX(Food!$A$1:$T$76,MATCH(B13,Food!$A$1:$A$76,0),16)</f>
        <v>40072.692608359997</v>
      </c>
      <c r="G13" s="347">
        <f>INDEX(Food!$A$1:$T$76,MATCH(B13,Food!$A$1:$A$76,0),17)</f>
        <v>3.0053670665252052E-2</v>
      </c>
      <c r="H13" s="347">
        <f>INDEX(Food!$A$1:$T$76,MATCH(B13,Food!$A$1:$A$76,0),18)</f>
        <v>3.1239250750243822E-2</v>
      </c>
      <c r="I13" s="347">
        <f>INDEX(Food!$A$1:$T$76,MATCH(B13,Food!$A$1:$A$76,0),19)</f>
        <v>1.1855800849917691E-3</v>
      </c>
    </row>
    <row r="14" spans="1:12" x14ac:dyDescent="0.45">
      <c r="B14" s="293" t="s">
        <v>169</v>
      </c>
      <c r="C14" s="311">
        <f>INDEX(Food!$A$1:$T$76,MATCH(B14,Food!$A$1:$A$76,0),7)</f>
        <v>2484.3205867299998</v>
      </c>
      <c r="D14" s="311">
        <f>INDEX(Food!$A$1:$T$76,MATCH(B14,Food!$A$1:$A$76,0),8)</f>
        <v>2931.7688963300002</v>
      </c>
      <c r="E14" s="311">
        <f>INDEX(Food!$A$1:$T$76,MATCH(B14,Food!$A$1:$A$76,0),15)</f>
        <v>56790.776904650003</v>
      </c>
      <c r="F14" s="311">
        <f>INDEX(Food!$A$1:$T$76,MATCH(B14,Food!$A$1:$A$76,0),16)</f>
        <v>66933.267445050005</v>
      </c>
      <c r="G14" s="347">
        <f>INDEX(Food!$A$1:$T$76,MATCH(B14,Food!$A$1:$A$76,0),17)</f>
        <v>4.3745141766612892E-2</v>
      </c>
      <c r="H14" s="347">
        <f>INDEX(Food!$A$1:$T$76,MATCH(B14,Food!$A$1:$A$76,0),18)</f>
        <v>4.380137124990776E-2</v>
      </c>
      <c r="I14" s="347">
        <f>INDEX(Food!$A$1:$T$76,MATCH(B14,Food!$A$1:$A$76,0),19)</f>
        <v>5.6229483294867322E-5</v>
      </c>
    </row>
    <row r="15" spans="1:12" x14ac:dyDescent="0.45">
      <c r="B15" s="293" t="s">
        <v>147</v>
      </c>
      <c r="C15" s="311">
        <f>INDEX(Food!$A$1:$T$76,MATCH(B15,Food!$A$1:$A$76,0),7)</f>
        <v>5950.8417699299998</v>
      </c>
      <c r="D15" s="311">
        <f>INDEX(Food!$A$1:$T$76,MATCH(B15,Food!$A$1:$A$76,0),8)</f>
        <v>6800.0728830799999</v>
      </c>
      <c r="E15" s="311">
        <f>INDEX(Food!$A$1:$T$76,MATCH(B15,Food!$A$1:$A$76,0),15)</f>
        <v>205342.67167914001</v>
      </c>
      <c r="F15" s="311">
        <f>INDEX(Food!$A$1:$T$76,MATCH(B15,Food!$A$1:$A$76,0),16)</f>
        <v>235110.76142220001</v>
      </c>
      <c r="G15" s="347">
        <f>INDEX(Food!$A$1:$T$76,MATCH(B15,Food!$A$1:$A$76,0),17)</f>
        <v>2.8980054273514761E-2</v>
      </c>
      <c r="H15" s="347">
        <f>INDEX(Food!$A$1:$T$76,MATCH(B15,Food!$A$1:$A$76,0),18)</f>
        <v>2.8922848286254209E-2</v>
      </c>
      <c r="I15" s="347">
        <f>INDEX(Food!$A$1:$T$76,MATCH(B15,Food!$A$1:$A$76,0),19)</f>
        <v>-5.7205987260552232E-5</v>
      </c>
    </row>
    <row r="16" spans="1:12" x14ac:dyDescent="0.45">
      <c r="B16" s="294" t="s">
        <v>18</v>
      </c>
      <c r="C16" s="313">
        <v>53584.046462389997</v>
      </c>
      <c r="D16" s="313">
        <v>51895.62553456</v>
      </c>
      <c r="E16" s="354">
        <v>1855726.8356911</v>
      </c>
      <c r="F16" s="354">
        <v>1898091.4722179</v>
      </c>
      <c r="G16" s="355">
        <v>2.887496447850554E-2</v>
      </c>
      <c r="H16" s="355">
        <v>2.7340950788804982E-2</v>
      </c>
      <c r="I16" s="355">
        <v>-1.5340136897005578E-3</v>
      </c>
    </row>
    <row r="17" spans="2:12" s="122" customFormat="1" x14ac:dyDescent="0.45">
      <c r="B17" s="348"/>
      <c r="C17" s="349"/>
      <c r="D17" s="349"/>
      <c r="E17" s="349"/>
      <c r="F17" s="349"/>
      <c r="G17" s="350"/>
      <c r="H17" s="350"/>
      <c r="I17" s="351"/>
    </row>
    <row r="18" spans="2:12" x14ac:dyDescent="0.45">
      <c r="B18" s="337" t="s">
        <v>965</v>
      </c>
    </row>
    <row r="19" spans="2:12" x14ac:dyDescent="0.45">
      <c r="B19" s="30" t="s">
        <v>54</v>
      </c>
      <c r="C19" s="30" t="s">
        <v>961</v>
      </c>
      <c r="D19" s="30" t="s">
        <v>962</v>
      </c>
      <c r="E19" s="30" t="s">
        <v>963</v>
      </c>
      <c r="F19" s="30" t="s">
        <v>964</v>
      </c>
      <c r="G19" s="334" t="s">
        <v>930</v>
      </c>
      <c r="H19" s="334" t="s">
        <v>931</v>
      </c>
      <c r="I19" s="334" t="s">
        <v>932</v>
      </c>
      <c r="K19" s="358" t="s">
        <v>986</v>
      </c>
      <c r="L19" s="359">
        <f>AVERAGE(I20:I29)</f>
        <v>6.2406230186105795E-4</v>
      </c>
    </row>
    <row r="20" spans="2:12" x14ac:dyDescent="0.45">
      <c r="B20" s="293" t="s">
        <v>153</v>
      </c>
      <c r="C20" s="311">
        <f>INDEX(Chemical!$A$1:$T$76,MATCH(B20,Chemical!$A$1:$A$76,0),7)</f>
        <v>4217.3410426800001</v>
      </c>
      <c r="D20" s="311">
        <f>INDEX(Chemical!$A$1:$T$76,MATCH(B20,Chemical!$A$1:$A$76,0),8)</f>
        <v>5071.9517757699996</v>
      </c>
      <c r="E20" s="311">
        <f>INDEX(Chemical!$A$1:$T$76,MATCH(B20,Chemical!$A$1:$A$76,0),15)</f>
        <v>83456.391863790006</v>
      </c>
      <c r="F20" s="311">
        <f>INDEX(Chemical!$A$1:$T$76,MATCH(B20,Chemical!$A$1:$A$76,0),16)</f>
        <v>87715.792114070005</v>
      </c>
      <c r="G20" s="347">
        <f>INDEX(Chemical!$A$1:$T$76,MATCH(B20,Chemical!$A$1:$A$76,0),17)</f>
        <v>5.0533469618039124E-2</v>
      </c>
      <c r="H20" s="347">
        <f>INDEX(Chemical!$A$1:$T$76,MATCH(B20,Chemical!$A$1:$A$76,0),18)</f>
        <v>5.7822561405752107E-2</v>
      </c>
      <c r="I20" s="347">
        <f>INDEX(Chemical!$A$1:$T$76,MATCH(B20,Chemical!$A$1:$A$76,0),19)</f>
        <v>7.2890917877129827E-3</v>
      </c>
      <c r="K20" s="358" t="s">
        <v>992</v>
      </c>
      <c r="L20" s="359">
        <f>H30+L19</f>
        <v>1.4841474806136842E-2</v>
      </c>
    </row>
    <row r="21" spans="2:12" x14ac:dyDescent="0.45">
      <c r="B21" s="293" t="s">
        <v>107</v>
      </c>
      <c r="C21" s="311">
        <f>INDEX(Chemical!$A$1:$T$76,MATCH(B21,Chemical!$A$1:$A$76,0),7)</f>
        <v>7043.6131135200003</v>
      </c>
      <c r="D21" s="311">
        <f>INDEX(Chemical!$A$1:$T$76,MATCH(B21,Chemical!$A$1:$A$76,0),8)</f>
        <v>8511.4955193299993</v>
      </c>
      <c r="E21" s="311">
        <f>INDEX(Chemical!$A$1:$T$76,MATCH(B21,Chemical!$A$1:$A$76,0),15)</f>
        <v>195024.47923529</v>
      </c>
      <c r="F21" s="311">
        <f>INDEX(Chemical!$A$1:$T$76,MATCH(B21,Chemical!$A$1:$A$76,0),16)</f>
        <v>224406.94908081999</v>
      </c>
      <c r="G21" s="347">
        <f>INDEX(Chemical!$A$1:$T$76,MATCH(B21,Chemical!$A$1:$A$76,0),17)</f>
        <v>3.6116559014225773E-2</v>
      </c>
      <c r="H21" s="347">
        <f>INDEX(Chemical!$A$1:$T$76,MATCH(B21,Chemical!$A$1:$A$76,0),18)</f>
        <v>3.7928841126326218E-2</v>
      </c>
      <c r="I21" s="347">
        <f>INDEX(Chemical!$A$1:$T$76,MATCH(B21,Chemical!$A$1:$A$76,0),19)</f>
        <v>1.8122821121004454E-3</v>
      </c>
      <c r="K21" s="358" t="s">
        <v>996</v>
      </c>
      <c r="L21" s="363">
        <f>D30</f>
        <v>26985.949431370002</v>
      </c>
    </row>
    <row r="22" spans="2:12" x14ac:dyDescent="0.45">
      <c r="B22" s="293" t="s">
        <v>168</v>
      </c>
      <c r="C22" s="311">
        <f>INDEX(Chemical!$A$1:$T$76,MATCH(B22,Chemical!$A$1:$A$76,0),7)</f>
        <v>767.40782716000001</v>
      </c>
      <c r="D22" s="311">
        <f>INDEX(Chemical!$A$1:$T$76,MATCH(B22,Chemical!$A$1:$A$76,0),8)</f>
        <v>859.62347523000005</v>
      </c>
      <c r="E22" s="311">
        <f>INDEX(Chemical!$A$1:$T$76,MATCH(B22,Chemical!$A$1:$A$76,0),15)</f>
        <v>38884.65391288</v>
      </c>
      <c r="F22" s="311">
        <f>INDEX(Chemical!$A$1:$T$76,MATCH(B22,Chemical!$A$1:$A$76,0),16)</f>
        <v>40072.692608359997</v>
      </c>
      <c r="G22" s="347">
        <f>INDEX(Chemical!$A$1:$T$76,MATCH(B22,Chemical!$A$1:$A$76,0),17)</f>
        <v>1.9735493310017782E-2</v>
      </c>
      <c r="H22" s="347">
        <f>INDEX(Chemical!$A$1:$T$76,MATCH(B22,Chemical!$A$1:$A$76,0),18)</f>
        <v>2.1451602557165442E-2</v>
      </c>
      <c r="I22" s="347">
        <f>INDEX(Chemical!$A$1:$T$76,MATCH(B22,Chemical!$A$1:$A$76,0),19)</f>
        <v>1.7161092471476604E-3</v>
      </c>
      <c r="K22" s="358" t="s">
        <v>993</v>
      </c>
      <c r="L22" s="363">
        <f>L20*$L$3</f>
        <v>36547.917120958715</v>
      </c>
    </row>
    <row r="23" spans="2:12" x14ac:dyDescent="0.45">
      <c r="B23" s="293" t="s">
        <v>144</v>
      </c>
      <c r="C23" s="311">
        <f>INDEX(Chemical!$A$1:$T$76,MATCH(B23,Chemical!$A$1:$A$76,0),7)</f>
        <v>5766.91945338</v>
      </c>
      <c r="D23" s="311">
        <f>INDEX(Chemical!$A$1:$T$76,MATCH(B23,Chemical!$A$1:$A$76,0),8)</f>
        <v>6897.0323465900001</v>
      </c>
      <c r="E23" s="311">
        <f>INDEX(Chemical!$A$1:$T$76,MATCH(B23,Chemical!$A$1:$A$76,0),15)</f>
        <v>301830.41438700003</v>
      </c>
      <c r="F23" s="311">
        <f>INDEX(Chemical!$A$1:$T$76,MATCH(B23,Chemical!$A$1:$A$76,0),16)</f>
        <v>356559.39228144003</v>
      </c>
      <c r="G23" s="347">
        <f>INDEX(Chemical!$A$1:$T$76,MATCH(B23,Chemical!$A$1:$A$76,0),17)</f>
        <v>1.9106488870885584E-2</v>
      </c>
      <c r="H23" s="347">
        <f>INDEX(Chemical!$A$1:$T$76,MATCH(B23,Chemical!$A$1:$A$76,0),18)</f>
        <v>1.9343291737344066E-2</v>
      </c>
      <c r="I23" s="347">
        <f>INDEX(Chemical!$A$1:$T$76,MATCH(B23,Chemical!$A$1:$A$76,0),19)</f>
        <v>2.3680286645848259E-4</v>
      </c>
      <c r="K23" s="358" t="s">
        <v>39</v>
      </c>
      <c r="L23" s="359">
        <f>(L22/L21)^(1/9)-1</f>
        <v>3.4275180972928698E-2</v>
      </c>
    </row>
    <row r="24" spans="2:12" x14ac:dyDescent="0.45">
      <c r="B24" s="293" t="s">
        <v>105</v>
      </c>
      <c r="C24" s="311">
        <f>INDEX(Chemical!$A$1:$T$76,MATCH(B24,Chemical!$A$1:$A$76,0),7)</f>
        <v>21080.963782160001</v>
      </c>
      <c r="D24" s="311">
        <f>INDEX(Chemical!$A$1:$T$76,MATCH(B24,Chemical!$A$1:$A$76,0),8)</f>
        <v>22317.157311430001</v>
      </c>
      <c r="E24" s="311">
        <f>INDEX(Chemical!$A$1:$T$76,MATCH(B24,Chemical!$A$1:$A$76,0),15)</f>
        <v>791157.39281293005</v>
      </c>
      <c r="F24" s="311">
        <f>INDEX(Chemical!$A$1:$T$76,MATCH(B24,Chemical!$A$1:$A$76,0),16)</f>
        <v>836861.61444072996</v>
      </c>
      <c r="G24" s="347">
        <f>INDEX(Chemical!$A$1:$T$76,MATCH(B24,Chemical!$A$1:$A$76,0),17)</f>
        <v>2.6645726847356423E-2</v>
      </c>
      <c r="H24" s="347">
        <f>INDEX(Chemical!$A$1:$T$76,MATCH(B24,Chemical!$A$1:$A$76,0),18)</f>
        <v>2.6667679490048585E-2</v>
      </c>
      <c r="I24" s="347">
        <f>INDEX(Chemical!$A$1:$T$76,MATCH(B24,Chemical!$A$1:$A$76,0),19)</f>
        <v>2.1952642692162072E-5</v>
      </c>
    </row>
    <row r="25" spans="2:12" x14ac:dyDescent="0.45">
      <c r="B25" s="293" t="s">
        <v>104</v>
      </c>
      <c r="C25" s="311">
        <f>INDEX(Chemical!$A$1:$T$76,MATCH(B25,Chemical!$A$1:$A$76,0),7)</f>
        <v>30385.06636683</v>
      </c>
      <c r="D25" s="311">
        <f>INDEX(Chemical!$A$1:$T$76,MATCH(B25,Chemical!$A$1:$A$76,0),8)</f>
        <v>34481.914893939997</v>
      </c>
      <c r="E25" s="311">
        <f>INDEX(Chemical!$A$1:$T$76,MATCH(B25,Chemical!$A$1:$A$76,0),15)</f>
        <v>1478297.0807395</v>
      </c>
      <c r="F25" s="311">
        <f>INDEX(Chemical!$A$1:$T$76,MATCH(B25,Chemical!$A$1:$A$76,0),16)</f>
        <v>1710728.7967964001</v>
      </c>
      <c r="G25" s="347">
        <f>INDEX(Chemical!$A$1:$T$76,MATCH(B25,Chemical!$A$1:$A$76,0),17)</f>
        <v>2.0554100229725304E-2</v>
      </c>
      <c r="H25" s="347">
        <f>INDEX(Chemical!$A$1:$T$76,MATCH(B25,Chemical!$A$1:$A$76,0),18)</f>
        <v>2.0156271969299065E-2</v>
      </c>
      <c r="I25" s="347">
        <f>INDEX(Chemical!$A$1:$T$76,MATCH(B25,Chemical!$A$1:$A$76,0),19)</f>
        <v>-3.9782826042623898E-4</v>
      </c>
    </row>
    <row r="26" spans="2:12" x14ac:dyDescent="0.45">
      <c r="B26" s="293" t="s">
        <v>121</v>
      </c>
      <c r="C26" s="311">
        <f>INDEX(Chemical!$A$1:$T$76,MATCH(B26,Chemical!$A$1:$A$76,0),7)</f>
        <v>7306.4393696999996</v>
      </c>
      <c r="D26" s="311">
        <f>INDEX(Chemical!$A$1:$T$76,MATCH(B26,Chemical!$A$1:$A$76,0),8)</f>
        <v>8286.7942366000007</v>
      </c>
      <c r="E26" s="311">
        <f>INDEX(Chemical!$A$1:$T$76,MATCH(B26,Chemical!$A$1:$A$76,0),15)</f>
        <v>331298.98374970001</v>
      </c>
      <c r="F26" s="311">
        <f>INDEX(Chemical!$A$1:$T$76,MATCH(B26,Chemical!$A$1:$A$76,0),16)</f>
        <v>394237.177708</v>
      </c>
      <c r="G26" s="347">
        <f>INDEX(Chemical!$A$1:$T$76,MATCH(B26,Chemical!$A$1:$A$76,0),17)</f>
        <v>2.2053914222749604E-2</v>
      </c>
      <c r="H26" s="347">
        <f>INDEX(Chemical!$A$1:$T$76,MATCH(B26,Chemical!$A$1:$A$76,0),18)</f>
        <v>2.1019819299583631E-2</v>
      </c>
      <c r="I26" s="347">
        <f>INDEX(Chemical!$A$1:$T$76,MATCH(B26,Chemical!$A$1:$A$76,0),19)</f>
        <v>-1.0340949231659735E-3</v>
      </c>
    </row>
    <row r="27" spans="2:12" x14ac:dyDescent="0.45">
      <c r="B27" s="293" t="s">
        <v>143</v>
      </c>
      <c r="C27" s="311">
        <f>INDEX(Chemical!$A$1:$T$76,MATCH(B27,Chemical!$A$1:$A$76,0),7)</f>
        <v>8323.6275743599999</v>
      </c>
      <c r="D27" s="311">
        <f>INDEX(Chemical!$A$1:$T$76,MATCH(B27,Chemical!$A$1:$A$76,0),8)</f>
        <v>8558.4977014899996</v>
      </c>
      <c r="E27" s="311">
        <f>INDEX(Chemical!$A$1:$T$76,MATCH(B27,Chemical!$A$1:$A$76,0),15)</f>
        <v>383753.13090967003</v>
      </c>
      <c r="F27" s="311">
        <f>INDEX(Chemical!$A$1:$T$76,MATCH(B27,Chemical!$A$1:$A$76,0),16)</f>
        <v>414599.77007557999</v>
      </c>
      <c r="G27" s="347">
        <f>INDEX(Chemical!$A$1:$T$76,MATCH(B27,Chemical!$A$1:$A$76,0),17)</f>
        <v>2.1690057758302073E-2</v>
      </c>
      <c r="H27" s="347">
        <f>INDEX(Chemical!$A$1:$T$76,MATCH(B27,Chemical!$A$1:$A$76,0),18)</f>
        <v>2.0642794133556363E-2</v>
      </c>
      <c r="I27" s="347">
        <f>INDEX(Chemical!$A$1:$T$76,MATCH(B27,Chemical!$A$1:$A$76,0),19)</f>
        <v>-1.0472636247457097E-3</v>
      </c>
    </row>
    <row r="28" spans="2:12" x14ac:dyDescent="0.45">
      <c r="B28" s="293" t="s">
        <v>118</v>
      </c>
      <c r="C28" s="311">
        <f>INDEX(Chemical!$A$1:$T$76,MATCH(B28,Chemical!$A$1:$A$76,0),7)</f>
        <v>9886.6669031700003</v>
      </c>
      <c r="D28" s="311">
        <f>INDEX(Chemical!$A$1:$T$76,MATCH(B28,Chemical!$A$1:$A$76,0),8)</f>
        <v>10126.374203609999</v>
      </c>
      <c r="E28" s="311">
        <f>INDEX(Chemical!$A$1:$T$76,MATCH(B28,Chemical!$A$1:$A$76,0),15)</f>
        <v>500331.50984029</v>
      </c>
      <c r="F28" s="311">
        <f>INDEX(Chemical!$A$1:$T$76,MATCH(B28,Chemical!$A$1:$A$76,0),16)</f>
        <v>542439.84157398995</v>
      </c>
      <c r="G28" s="347">
        <f>INDEX(Chemical!$A$1:$T$76,MATCH(B28,Chemical!$A$1:$A$76,0),17)</f>
        <v>1.9760232383376989E-2</v>
      </c>
      <c r="H28" s="347">
        <f>INDEX(Chemical!$A$1:$T$76,MATCH(B28,Chemical!$A$1:$A$76,0),18)</f>
        <v>1.8668197701382783E-2</v>
      </c>
      <c r="I28" s="347">
        <f>INDEX(Chemical!$A$1:$T$76,MATCH(B28,Chemical!$A$1:$A$76,0),19)</f>
        <v>-1.0920346819942063E-3</v>
      </c>
    </row>
    <row r="29" spans="2:12" x14ac:dyDescent="0.45">
      <c r="B29" s="293" t="s">
        <v>907</v>
      </c>
      <c r="C29" s="311">
        <f>INDEX(Chemical!$A$1:$T$76,MATCH(B29,Chemical!$A$1:$A$76,0),7)</f>
        <v>248519.48457383999</v>
      </c>
      <c r="D29" s="311">
        <f>INDEX(Chemical!$A$1:$T$76,MATCH(B29,Chemical!$A$1:$A$76,0),8)</f>
        <v>336023.08165576</v>
      </c>
      <c r="E29" s="311">
        <f>INDEX(Chemical!$A$1:$T$76,MATCH(B29,Chemical!$A$1:$A$76,0),15)</f>
        <v>11048064.947659001</v>
      </c>
      <c r="F29" s="311">
        <f>INDEX(Chemical!$A$1:$T$76,MATCH(B29,Chemical!$A$1:$A$76,0),16)</f>
        <v>15827750.501527</v>
      </c>
      <c r="G29" s="347">
        <f>INDEX(Chemical!$A$1:$T$76,MATCH(B29,Chemical!$A$1:$A$76,0),17)</f>
        <v>2.2494390262115478E-2</v>
      </c>
      <c r="H29" s="347">
        <f>INDEX(Chemical!$A$1:$T$76,MATCH(B29,Chemical!$A$1:$A$76,0),18)</f>
        <v>2.1229996114946453E-2</v>
      </c>
      <c r="I29" s="347">
        <f>INDEX(Chemical!$A$1:$T$76,MATCH(B29,Chemical!$A$1:$A$76,0),19)</f>
        <v>-1.2643941471690255E-3</v>
      </c>
    </row>
    <row r="30" spans="2:12" x14ac:dyDescent="0.45">
      <c r="B30" s="294" t="s">
        <v>18</v>
      </c>
      <c r="C30" s="313">
        <v>25914.750597689999</v>
      </c>
      <c r="D30" s="313">
        <v>26985.949431370002</v>
      </c>
      <c r="E30" s="354">
        <v>1855726.8356911</v>
      </c>
      <c r="F30" s="354">
        <v>1898091.4722179</v>
      </c>
      <c r="G30" s="355">
        <v>1.3964744217345419E-2</v>
      </c>
      <c r="H30" s="355">
        <v>1.4217412504275783E-2</v>
      </c>
      <c r="I30" s="355">
        <v>2.5266828693036418E-4</v>
      </c>
    </row>
    <row r="32" spans="2:12" x14ac:dyDescent="0.45">
      <c r="B32" s="337" t="s">
        <v>966</v>
      </c>
    </row>
    <row r="33" spans="2:12" x14ac:dyDescent="0.45">
      <c r="B33" s="30" t="s">
        <v>54</v>
      </c>
      <c r="C33" s="30" t="s">
        <v>961</v>
      </c>
      <c r="D33" s="30" t="s">
        <v>962</v>
      </c>
      <c r="E33" s="30" t="s">
        <v>963</v>
      </c>
      <c r="F33" s="30" t="s">
        <v>964</v>
      </c>
      <c r="G33" s="334" t="s">
        <v>930</v>
      </c>
      <c r="H33" s="334" t="s">
        <v>931</v>
      </c>
      <c r="I33" s="334" t="s">
        <v>932</v>
      </c>
      <c r="K33" s="358" t="s">
        <v>986</v>
      </c>
      <c r="L33" s="359">
        <f>AVERAGE(I34:I43)</f>
        <v>9.6124725816876971E-4</v>
      </c>
    </row>
    <row r="34" spans="2:12" x14ac:dyDescent="0.45">
      <c r="B34" s="293" t="s">
        <v>122</v>
      </c>
      <c r="C34" s="311">
        <f>INDEX('Basic metals'!$A$1:$T$76,MATCH(B34,'Basic metals'!$A$1:$A$76,0),7)</f>
        <v>2498.4727532900001</v>
      </c>
      <c r="D34" s="311">
        <f>INDEX('Basic metals'!$A$1:$T$76,MATCH(B34,'Basic metals'!$A$1:$A$76,0),8)</f>
        <v>6368.0868005100001</v>
      </c>
      <c r="E34" s="311">
        <f>INDEX('Basic metals'!$A$1:$T$76,MATCH(B34,'Basic metals'!$A$1:$A$76,0),15)</f>
        <v>254018.52751081</v>
      </c>
      <c r="F34" s="311">
        <f>INDEX('Basic metals'!$A$1:$T$76,MATCH(B34,'Basic metals'!$A$1:$A$76,0),16)</f>
        <v>352775.42056751001</v>
      </c>
      <c r="G34" s="347">
        <f>INDEX('Basic metals'!$A$1:$T$76,MATCH(B34,'Basic metals'!$A$1:$A$76,0),17)</f>
        <v>9.835789451159916E-3</v>
      </c>
      <c r="H34" s="347">
        <f>INDEX('Basic metals'!$A$1:$T$76,MATCH(B34,'Basic metals'!$A$1:$A$76,0),18)</f>
        <v>1.8051390287525292E-2</v>
      </c>
      <c r="I34" s="347">
        <f>INDEX('Basic metals'!$A$1:$T$76,MATCH(B34,'Basic metals'!$A$1:$A$76,0),19)</f>
        <v>8.2156008363653762E-3</v>
      </c>
      <c r="K34" s="358" t="s">
        <v>992</v>
      </c>
      <c r="L34" s="359">
        <f>H44+L33</f>
        <v>1.0919777289660338E-2</v>
      </c>
    </row>
    <row r="35" spans="2:12" x14ac:dyDescent="0.45">
      <c r="B35" s="293" t="s">
        <v>107</v>
      </c>
      <c r="C35" s="311">
        <f>INDEX('Basic metals'!$A$1:$T$76,MATCH(B35,'Basic metals'!$A$1:$A$76,0),7)</f>
        <v>5443.3667765999999</v>
      </c>
      <c r="D35" s="311">
        <f>INDEX('Basic metals'!$A$1:$T$76,MATCH(B35,'Basic metals'!$A$1:$A$76,0),8)</f>
        <v>7144.2696410299995</v>
      </c>
      <c r="E35" s="311">
        <f>INDEX('Basic metals'!$A$1:$T$76,MATCH(B35,'Basic metals'!$A$1:$A$76,0),15)</f>
        <v>195024.47923529</v>
      </c>
      <c r="F35" s="311">
        <f>INDEX('Basic metals'!$A$1:$T$76,MATCH(B35,'Basic metals'!$A$1:$A$76,0),16)</f>
        <v>224406.94908081999</v>
      </c>
      <c r="G35" s="347">
        <f>INDEX('Basic metals'!$A$1:$T$76,MATCH(B35,'Basic metals'!$A$1:$A$76,0),17)</f>
        <v>2.7911197599111516E-2</v>
      </c>
      <c r="H35" s="347">
        <f>INDEX('Basic metals'!$A$1:$T$76,MATCH(B35,'Basic metals'!$A$1:$A$76,0),18)</f>
        <v>3.1836222854475849E-2</v>
      </c>
      <c r="I35" s="347">
        <f>INDEX('Basic metals'!$A$1:$T$76,MATCH(B35,'Basic metals'!$A$1:$A$76,0),19)</f>
        <v>3.9250252553643325E-3</v>
      </c>
      <c r="K35" s="358" t="s">
        <v>996</v>
      </c>
      <c r="L35" s="363">
        <f>D44</f>
        <v>18902.200928599999</v>
      </c>
    </row>
    <row r="36" spans="2:12" x14ac:dyDescent="0.45">
      <c r="B36" s="293" t="s">
        <v>153</v>
      </c>
      <c r="C36" s="311">
        <f>INDEX('Basic metals'!$A$1:$T$76,MATCH(B36,'Basic metals'!$A$1:$A$76,0),7)</f>
        <v>1214.31282317</v>
      </c>
      <c r="D36" s="311">
        <f>INDEX('Basic metals'!$A$1:$T$76,MATCH(B36,'Basic metals'!$A$1:$A$76,0),8)</f>
        <v>1353.1725489200001</v>
      </c>
      <c r="E36" s="311">
        <f>INDEX('Basic metals'!$A$1:$T$76,MATCH(B36,'Basic metals'!$A$1:$A$76,0),15)</f>
        <v>83456.391863790006</v>
      </c>
      <c r="F36" s="311">
        <f>INDEX('Basic metals'!$A$1:$T$76,MATCH(B36,'Basic metals'!$A$1:$A$76,0),16)</f>
        <v>87715.792114070005</v>
      </c>
      <c r="G36" s="347">
        <f>INDEX('Basic metals'!$A$1:$T$76,MATCH(B36,'Basic metals'!$A$1:$A$76,0),17)</f>
        <v>1.4550267463658048E-2</v>
      </c>
      <c r="H36" s="347">
        <f>INDEX('Basic metals'!$A$1:$T$76,MATCH(B36,'Basic metals'!$A$1:$A$76,0),18)</f>
        <v>1.5426783664682258E-2</v>
      </c>
      <c r="I36" s="347">
        <f>INDEX('Basic metals'!$A$1:$T$76,MATCH(B36,'Basic metals'!$A$1:$A$76,0),19)</f>
        <v>8.7651620102421023E-4</v>
      </c>
      <c r="K36" s="358" t="s">
        <v>993</v>
      </c>
      <c r="L36" s="363">
        <f>L34*$L$3</f>
        <v>26890.529450402748</v>
      </c>
    </row>
    <row r="37" spans="2:12" x14ac:dyDescent="0.45">
      <c r="B37" s="293" t="s">
        <v>99</v>
      </c>
      <c r="C37" s="311">
        <f>INDEX('Basic metals'!$A$1:$T$76,MATCH(B37,'Basic metals'!$A$1:$A$76,0),7)</f>
        <v>11577.513389309999</v>
      </c>
      <c r="D37" s="311">
        <f>INDEX('Basic metals'!$A$1:$T$76,MATCH(B37,'Basic metals'!$A$1:$A$76,0),8)</f>
        <v>14713.1212216</v>
      </c>
      <c r="E37" s="311">
        <f>INDEX('Basic metals'!$A$1:$T$76,MATCH(B37,'Basic metals'!$A$1:$A$76,0),15)</f>
        <v>917924.88667253999</v>
      </c>
      <c r="F37" s="311">
        <f>INDEX('Basic metals'!$A$1:$T$76,MATCH(B37,'Basic metals'!$A$1:$A$76,0),16)</f>
        <v>1136354.4627425</v>
      </c>
      <c r="G37" s="347">
        <f>INDEX('Basic metals'!$A$1:$T$76,MATCH(B37,'Basic metals'!$A$1:$A$76,0),17)</f>
        <v>1.2612702365308192E-2</v>
      </c>
      <c r="H37" s="347">
        <f>INDEX('Basic metals'!$A$1:$T$76,MATCH(B37,'Basic metals'!$A$1:$A$76,0),18)</f>
        <v>1.2947651198633099E-2</v>
      </c>
      <c r="I37" s="347">
        <f>INDEX('Basic metals'!$A$1:$T$76,MATCH(B37,'Basic metals'!$A$1:$A$76,0),19)</f>
        <v>3.3494883332490719E-4</v>
      </c>
      <c r="K37" s="358" t="s">
        <v>39</v>
      </c>
      <c r="L37" s="359">
        <f>(L36/L35)^(1/9)-1</f>
        <v>3.9943307061982347E-2</v>
      </c>
    </row>
    <row r="38" spans="2:12" x14ac:dyDescent="0.45">
      <c r="B38" s="293" t="s">
        <v>72</v>
      </c>
      <c r="C38" s="311">
        <f>INDEX('Basic metals'!$A$1:$T$76,MATCH(B38,'Basic metals'!$A$1:$A$76,0),7)</f>
        <v>4961.31573974</v>
      </c>
      <c r="D38" s="311">
        <f>INDEX('Basic metals'!$A$1:$T$76,MATCH(B38,'Basic metals'!$A$1:$A$76,0),8)</f>
        <v>5266.07337517</v>
      </c>
      <c r="E38" s="311">
        <f>INDEX('Basic metals'!$A$1:$T$76,MATCH(B38,'Basic metals'!$A$1:$A$76,0),15)</f>
        <v>410010.85265116999</v>
      </c>
      <c r="F38" s="311">
        <f>INDEX('Basic metals'!$A$1:$T$76,MATCH(B38,'Basic metals'!$A$1:$A$76,0),16)</f>
        <v>432694.04992214998</v>
      </c>
      <c r="G38" s="347">
        <f>INDEX('Basic metals'!$A$1:$T$76,MATCH(B38,'Basic metals'!$A$1:$A$76,0),17)</f>
        <v>1.2100449799461772E-2</v>
      </c>
      <c r="H38" s="347">
        <f>INDEX('Basic metals'!$A$1:$T$76,MATCH(B38,'Basic metals'!$A$1:$A$76,0),18)</f>
        <v>1.2170431685199897E-2</v>
      </c>
      <c r="I38" s="347">
        <f>INDEX('Basic metals'!$A$1:$T$76,MATCH(B38,'Basic metals'!$A$1:$A$76,0),19)</f>
        <v>6.9981885738125416E-5</v>
      </c>
    </row>
    <row r="39" spans="2:12" x14ac:dyDescent="0.45">
      <c r="B39" s="293" t="s">
        <v>75</v>
      </c>
      <c r="C39" s="311">
        <f>INDEX('Basic metals'!$A$1:$T$76,MATCH(B39,'Basic metals'!$A$1:$A$76,0),7)</f>
        <v>12563.67453563</v>
      </c>
      <c r="D39" s="311">
        <f>INDEX('Basic metals'!$A$1:$T$76,MATCH(B39,'Basic metals'!$A$1:$A$76,0),8)</f>
        <v>12740.271190920001</v>
      </c>
      <c r="E39" s="311">
        <f>INDEX('Basic metals'!$A$1:$T$76,MATCH(B39,'Basic metals'!$A$1:$A$76,0),15)</f>
        <v>1239119.2771185001</v>
      </c>
      <c r="F39" s="311">
        <f>INDEX('Basic metals'!$A$1:$T$76,MATCH(B39,'Basic metals'!$A$1:$A$76,0),16)</f>
        <v>1262038.2891611001</v>
      </c>
      <c r="G39" s="347">
        <f>INDEX('Basic metals'!$A$1:$T$76,MATCH(B39,'Basic metals'!$A$1:$A$76,0),17)</f>
        <v>1.013919706329329E-2</v>
      </c>
      <c r="H39" s="347">
        <f>INDEX('Basic metals'!$A$1:$T$76,MATCH(B39,'Basic metals'!$A$1:$A$76,0),18)</f>
        <v>1.0094995770206538E-2</v>
      </c>
      <c r="I39" s="347">
        <f>INDEX('Basic metals'!$A$1:$T$76,MATCH(B39,'Basic metals'!$A$1:$A$76,0),19)</f>
        <v>-4.4201293086751706E-5</v>
      </c>
    </row>
    <row r="40" spans="2:12" x14ac:dyDescent="0.45">
      <c r="B40" s="293" t="s">
        <v>100</v>
      </c>
      <c r="C40" s="311">
        <f>INDEX('Basic metals'!$A$1:$T$76,MATCH(B40,'Basic metals'!$A$1:$A$76,0),7)</f>
        <v>84297.378772990007</v>
      </c>
      <c r="D40" s="311">
        <f>INDEX('Basic metals'!$A$1:$T$76,MATCH(B40,'Basic metals'!$A$1:$A$76,0),8)</f>
        <v>81975.167517780006</v>
      </c>
      <c r="E40" s="311">
        <f>INDEX('Basic metals'!$A$1:$T$76,MATCH(B40,'Basic metals'!$A$1:$A$76,0),15)</f>
        <v>4983596.864085</v>
      </c>
      <c r="F40" s="311">
        <f>INDEX('Basic metals'!$A$1:$T$76,MATCH(B40,'Basic metals'!$A$1:$A$76,0),16)</f>
        <v>5032370.4042106001</v>
      </c>
      <c r="G40" s="347">
        <f>INDEX('Basic metals'!$A$1:$T$76,MATCH(B40,'Basic metals'!$A$1:$A$76,0),17)</f>
        <v>1.6914967456635802E-2</v>
      </c>
      <c r="H40" s="347">
        <f>INDEX('Basic metals'!$A$1:$T$76,MATCH(B40,'Basic metals'!$A$1:$A$76,0),18)</f>
        <v>1.6289573487911605E-2</v>
      </c>
      <c r="I40" s="347">
        <f>INDEX('Basic metals'!$A$1:$T$76,MATCH(B40,'Basic metals'!$A$1:$A$76,0),19)</f>
        <v>-6.2539396872419648E-4</v>
      </c>
    </row>
    <row r="41" spans="2:12" x14ac:dyDescent="0.45">
      <c r="B41" s="293" t="s">
        <v>106</v>
      </c>
      <c r="C41" s="311">
        <f>INDEX('Basic metals'!$A$1:$T$76,MATCH(B41,'Basic metals'!$A$1:$A$76,0),7)</f>
        <v>36188.329894089999</v>
      </c>
      <c r="D41" s="311">
        <f>INDEX('Basic metals'!$A$1:$T$76,MATCH(B41,'Basic metals'!$A$1:$A$76,0),8)</f>
        <v>38511.382638460003</v>
      </c>
      <c r="E41" s="311">
        <f>INDEX('Basic metals'!$A$1:$T$76,MATCH(B41,'Basic metals'!$A$1:$A$76,0),15)</f>
        <v>1579786.0768998</v>
      </c>
      <c r="F41" s="311">
        <f>INDEX('Basic metals'!$A$1:$T$76,MATCH(B41,'Basic metals'!$A$1:$A$76,0),16)</f>
        <v>1741025.8573970001</v>
      </c>
      <c r="G41" s="347">
        <f>INDEX('Basic metals'!$A$1:$T$76,MATCH(B41,'Basic metals'!$A$1:$A$76,0),17)</f>
        <v>2.2907107755441556E-2</v>
      </c>
      <c r="H41" s="347">
        <f>INDEX('Basic metals'!$A$1:$T$76,MATCH(B41,'Basic metals'!$A$1:$A$76,0),18)</f>
        <v>2.2119937205319972E-2</v>
      </c>
      <c r="I41" s="347">
        <f>INDEX('Basic metals'!$A$1:$T$76,MATCH(B41,'Basic metals'!$A$1:$A$76,0),19)</f>
        <v>-7.8717055012158393E-4</v>
      </c>
    </row>
    <row r="42" spans="2:12" x14ac:dyDescent="0.45">
      <c r="B42" s="293" t="s">
        <v>149</v>
      </c>
      <c r="C42" s="311">
        <f>INDEX('Basic metals'!$A$1:$T$76,MATCH(B42,'Basic metals'!$A$1:$A$76,0),7)</f>
        <v>1687.99633092</v>
      </c>
      <c r="D42" s="311">
        <f>INDEX('Basic metals'!$A$1:$T$76,MATCH(B42,'Basic metals'!$A$1:$A$76,0),8)</f>
        <v>1708.8052381099999</v>
      </c>
      <c r="E42" s="311">
        <f>INDEX('Basic metals'!$A$1:$T$76,MATCH(B42,'Basic metals'!$A$1:$A$76,0),15)</f>
        <v>137743.94890503999</v>
      </c>
      <c r="F42" s="311">
        <f>INDEX('Basic metals'!$A$1:$T$76,MATCH(B42,'Basic metals'!$A$1:$A$76,0),16)</f>
        <v>153275.23415388001</v>
      </c>
      <c r="G42" s="347">
        <f>INDEX('Basic metals'!$A$1:$T$76,MATCH(B42,'Basic metals'!$A$1:$A$76,0),17)</f>
        <v>1.2254595169793605E-2</v>
      </c>
      <c r="H42" s="347">
        <f>INDEX('Basic metals'!$A$1:$T$76,MATCH(B42,'Basic metals'!$A$1:$A$76,0),18)</f>
        <v>1.1148606280349586E-2</v>
      </c>
      <c r="I42" s="347">
        <f>INDEX('Basic metals'!$A$1:$T$76,MATCH(B42,'Basic metals'!$A$1:$A$76,0),19)</f>
        <v>-1.1059888894440189E-3</v>
      </c>
    </row>
    <row r="43" spans="2:12" x14ac:dyDescent="0.45">
      <c r="B43" s="293" t="s">
        <v>73</v>
      </c>
      <c r="C43" s="311">
        <f>INDEX('Basic metals'!$A$1:$T$76,MATCH(B43,'Basic metals'!$A$1:$A$76,0),7)</f>
        <v>9124.0919433899999</v>
      </c>
      <c r="D43" s="311">
        <f>INDEX('Basic metals'!$A$1:$T$76,MATCH(B43,'Basic metals'!$A$1:$A$76,0),8)</f>
        <v>10405.334383490001</v>
      </c>
      <c r="E43" s="311">
        <f>INDEX('Basic metals'!$A$1:$T$76,MATCH(B43,'Basic metals'!$A$1:$A$76,0),15)</f>
        <v>546880.06131035998</v>
      </c>
      <c r="F43" s="311">
        <f>INDEX('Basic metals'!$A$1:$T$76,MATCH(B43,'Basic metals'!$A$1:$A$76,0),16)</f>
        <v>674049.24440882006</v>
      </c>
      <c r="G43" s="347">
        <f>INDEX('Basic metals'!$A$1:$T$76,MATCH(B43,'Basic metals'!$A$1:$A$76,0),17)</f>
        <v>1.6683899430394455E-2</v>
      </c>
      <c r="H43" s="347">
        <f>INDEX('Basic metals'!$A$1:$T$76,MATCH(B43,'Basic metals'!$A$1:$A$76,0),18)</f>
        <v>1.5437053701641751E-2</v>
      </c>
      <c r="I43" s="347">
        <f>INDEX('Basic metals'!$A$1:$T$76,MATCH(B43,'Basic metals'!$A$1:$A$76,0),19)</f>
        <v>-1.2468457287527039E-3</v>
      </c>
    </row>
    <row r="44" spans="2:12" x14ac:dyDescent="0.45">
      <c r="B44" s="294" t="s">
        <v>18</v>
      </c>
      <c r="C44" s="313">
        <v>17795.953809850002</v>
      </c>
      <c r="D44" s="313">
        <v>18902.200928599999</v>
      </c>
      <c r="E44" s="313">
        <v>1855726.8356911</v>
      </c>
      <c r="F44" s="313">
        <v>1898091.4722179</v>
      </c>
      <c r="G44" s="352">
        <v>9.589748592077953E-3</v>
      </c>
      <c r="H44" s="352">
        <v>9.9585300314915682E-3</v>
      </c>
      <c r="I44" s="353">
        <v>3.6878143941361519E-4</v>
      </c>
    </row>
    <row r="46" spans="2:12" x14ac:dyDescent="0.45">
      <c r="B46" s="337" t="s">
        <v>967</v>
      </c>
    </row>
    <row r="47" spans="2:12" x14ac:dyDescent="0.45">
      <c r="B47" s="30" t="s">
        <v>54</v>
      </c>
      <c r="C47" s="30" t="s">
        <v>961</v>
      </c>
      <c r="D47" s="30" t="s">
        <v>962</v>
      </c>
      <c r="E47" s="30" t="s">
        <v>963</v>
      </c>
      <c r="F47" s="30" t="s">
        <v>964</v>
      </c>
      <c r="G47" s="334" t="s">
        <v>930</v>
      </c>
      <c r="H47" s="334" t="s">
        <v>931</v>
      </c>
      <c r="I47" s="334" t="s">
        <v>932</v>
      </c>
      <c r="K47" s="358" t="s">
        <v>986</v>
      </c>
      <c r="L47" s="359">
        <f>AVERAGE(I48:I57)</f>
        <v>1.5752377190355285E-3</v>
      </c>
    </row>
    <row r="48" spans="2:12" x14ac:dyDescent="0.45">
      <c r="B48" s="293" t="s">
        <v>157</v>
      </c>
      <c r="C48" s="311">
        <f>INDEX('Motor vehicles'!$A$1:$T$76,MATCH(B48,'Motor vehicles'!$A$1:$A$76,0),7)</f>
        <v>3289.4313111000001</v>
      </c>
      <c r="D48" s="311">
        <f>INDEX('Motor vehicles'!$A$1:$T$76,MATCH(B48,'Motor vehicles'!$A$1:$A$76,0),8)</f>
        <v>4571.7313054400001</v>
      </c>
      <c r="E48" s="311">
        <f>INDEX('Motor vehicles'!$A$1:$T$76,MATCH(B48,'Motor vehicles'!$A$1:$A$76,0),15)</f>
        <v>94460.171576160006</v>
      </c>
      <c r="F48" s="311">
        <f>INDEX('Motor vehicles'!$A$1:$T$76,MATCH(B48,'Motor vehicles'!$A$1:$A$76,0),16)</f>
        <v>107076.6714533</v>
      </c>
      <c r="G48" s="347">
        <f>INDEX('Motor vehicles'!$A$1:$T$76,MATCH(B48,'Motor vehicles'!$A$1:$A$76,0),17)</f>
        <v>3.4823473811370798E-2</v>
      </c>
      <c r="H48" s="347">
        <f>INDEX('Motor vehicles'!$A$1:$T$76,MATCH(B48,'Motor vehicles'!$A$1:$A$76,0),18)</f>
        <v>4.2695866834391624E-2</v>
      </c>
      <c r="I48" s="347">
        <f>INDEX('Motor vehicles'!$A$1:$T$76,MATCH(B48,'Motor vehicles'!$A$1:$A$76,0),19)</f>
        <v>7.8723930230208267E-3</v>
      </c>
      <c r="K48" s="358" t="s">
        <v>992</v>
      </c>
      <c r="L48" s="359">
        <f>H58+L47</f>
        <v>1.2764332480492786E-2</v>
      </c>
    </row>
    <row r="49" spans="2:12" x14ac:dyDescent="0.45">
      <c r="B49" s="293" t="s">
        <v>111</v>
      </c>
      <c r="C49" s="311">
        <f>INDEX('Motor vehicles'!$A$1:$T$76,MATCH(B49,'Motor vehicles'!$A$1:$A$76,0),7)</f>
        <v>8310.4235659499991</v>
      </c>
      <c r="D49" s="311">
        <f>INDEX('Motor vehicles'!$A$1:$T$76,MATCH(B49,'Motor vehicles'!$A$1:$A$76,0),8)</f>
        <v>11182.56673629</v>
      </c>
      <c r="E49" s="311">
        <f>INDEX('Motor vehicles'!$A$1:$T$76,MATCH(B49,'Motor vehicles'!$A$1:$A$76,0),15)</f>
        <v>220291.04889604999</v>
      </c>
      <c r="F49" s="311">
        <f>INDEX('Motor vehicles'!$A$1:$T$76,MATCH(B49,'Motor vehicles'!$A$1:$A$76,0),16)</f>
        <v>247058.51905223</v>
      </c>
      <c r="G49" s="347">
        <f>INDEX('Motor vehicles'!$A$1:$T$76,MATCH(B49,'Motor vehicles'!$A$1:$A$76,0),17)</f>
        <v>3.7724744639404242E-2</v>
      </c>
      <c r="H49" s="347">
        <f>INDEX('Motor vehicles'!$A$1:$T$76,MATCH(B49,'Motor vehicles'!$A$1:$A$76,0),18)</f>
        <v>4.5262825905331046E-2</v>
      </c>
      <c r="I49" s="347">
        <f>INDEX('Motor vehicles'!$A$1:$T$76,MATCH(B49,'Motor vehicles'!$A$1:$A$76,0),19)</f>
        <v>7.5380812659268034E-3</v>
      </c>
      <c r="K49" s="358" t="s">
        <v>996</v>
      </c>
      <c r="L49" s="363">
        <f>D58</f>
        <v>21237.925348559998</v>
      </c>
    </row>
    <row r="50" spans="2:12" x14ac:dyDescent="0.45">
      <c r="B50" s="293" t="s">
        <v>907</v>
      </c>
      <c r="C50" s="311">
        <f>INDEX('Motor vehicles'!$A$1:$T$76,MATCH(B50,'Motor vehicles'!$A$1:$A$76,0),7)</f>
        <v>200452.70680623999</v>
      </c>
      <c r="D50" s="311">
        <f>INDEX('Motor vehicles'!$A$1:$T$76,MATCH(B50,'Motor vehicles'!$A$1:$A$76,0),8)</f>
        <v>312738.56214605999</v>
      </c>
      <c r="E50" s="311">
        <f>INDEX('Motor vehicles'!$A$1:$T$76,MATCH(B50,'Motor vehicles'!$A$1:$A$76,0),15)</f>
        <v>11048064.947659001</v>
      </c>
      <c r="F50" s="311">
        <f>INDEX('Motor vehicles'!$A$1:$T$76,MATCH(B50,'Motor vehicles'!$A$1:$A$76,0),16)</f>
        <v>15827750.501527</v>
      </c>
      <c r="G50" s="347">
        <f>INDEX('Motor vehicles'!$A$1:$T$76,MATCH(B50,'Motor vehicles'!$A$1:$A$76,0),17)</f>
        <v>1.8143693737853555E-2</v>
      </c>
      <c r="H50" s="347">
        <f>INDEX('Motor vehicles'!$A$1:$T$76,MATCH(B50,'Motor vehicles'!$A$1:$A$76,0),18)</f>
        <v>1.9758876166002755E-2</v>
      </c>
      <c r="I50" s="347">
        <f>INDEX('Motor vehicles'!$A$1:$T$76,MATCH(B50,'Motor vehicles'!$A$1:$A$76,0),19)</f>
        <v>1.6151824281491999E-3</v>
      </c>
      <c r="K50" s="358" t="s">
        <v>993</v>
      </c>
      <c r="L50" s="363">
        <f>L48*$L$3</f>
        <v>31432.844221688352</v>
      </c>
    </row>
    <row r="51" spans="2:12" x14ac:dyDescent="0.45">
      <c r="B51" s="293" t="s">
        <v>75</v>
      </c>
      <c r="C51" s="311">
        <f>INDEX('Motor vehicles'!$A$1:$T$76,MATCH(B51,'Motor vehicles'!$A$1:$A$76,0),7)</f>
        <v>38188.866301169997</v>
      </c>
      <c r="D51" s="311">
        <f>INDEX('Motor vehicles'!$A$1:$T$76,MATCH(B51,'Motor vehicles'!$A$1:$A$76,0),8)</f>
        <v>40658.126428670002</v>
      </c>
      <c r="E51" s="311">
        <f>INDEX('Motor vehicles'!$A$1:$T$76,MATCH(B51,'Motor vehicles'!$A$1:$A$76,0),15)</f>
        <v>1239119.2771185001</v>
      </c>
      <c r="F51" s="311">
        <f>INDEX('Motor vehicles'!$A$1:$T$76,MATCH(B51,'Motor vehicles'!$A$1:$A$76,0),16)</f>
        <v>1262038.2891611001</v>
      </c>
      <c r="G51" s="347">
        <f>INDEX('Motor vehicles'!$A$1:$T$76,MATCH(B51,'Motor vehicles'!$A$1:$A$76,0),17)</f>
        <v>3.0819362595968961E-2</v>
      </c>
      <c r="H51" s="347">
        <f>INDEX('Motor vehicles'!$A$1:$T$76,MATCH(B51,'Motor vehicles'!$A$1:$A$76,0),18)</f>
        <v>3.2216238427834235E-2</v>
      </c>
      <c r="I51" s="347">
        <f>INDEX('Motor vehicles'!$A$1:$T$76,MATCH(B51,'Motor vehicles'!$A$1:$A$76,0),19)</f>
        <v>1.3968758318652734E-3</v>
      </c>
      <c r="K51" s="358" t="s">
        <v>39</v>
      </c>
      <c r="L51" s="359">
        <f>(L50/L49)^(1/9)-1</f>
        <v>4.4525545005068556E-2</v>
      </c>
    </row>
    <row r="52" spans="2:12" x14ac:dyDescent="0.45">
      <c r="B52" s="293" t="s">
        <v>162</v>
      </c>
      <c r="C52" s="311">
        <f>INDEX('Motor vehicles'!$A$1:$T$76,MATCH(B52,'Motor vehicles'!$A$1:$A$76,0),7)</f>
        <v>2469.3940235599998</v>
      </c>
      <c r="D52" s="311">
        <f>INDEX('Motor vehicles'!$A$1:$T$76,MATCH(B52,'Motor vehicles'!$A$1:$A$76,0),8)</f>
        <v>3369.9779528600002</v>
      </c>
      <c r="E52" s="311">
        <f>INDEX('Motor vehicles'!$A$1:$T$76,MATCH(B52,'Motor vehicles'!$A$1:$A$76,0),15)</f>
        <v>204518.17392167001</v>
      </c>
      <c r="F52" s="311">
        <f>INDEX('Motor vehicles'!$A$1:$T$76,MATCH(B52,'Motor vehicles'!$A$1:$A$76,0),16)</f>
        <v>254974.25152873</v>
      </c>
      <c r="G52" s="347">
        <f>INDEX('Motor vehicles'!$A$1:$T$76,MATCH(B52,'Motor vehicles'!$A$1:$A$76,0),17)</f>
        <v>1.2074203363979633E-2</v>
      </c>
      <c r="H52" s="347">
        <f>INDEX('Motor vehicles'!$A$1:$T$76,MATCH(B52,'Motor vehicles'!$A$1:$A$76,0),18)</f>
        <v>1.3216934387118998E-2</v>
      </c>
      <c r="I52" s="347">
        <f>INDEX('Motor vehicles'!$A$1:$T$76,MATCH(B52,'Motor vehicles'!$A$1:$A$76,0),19)</f>
        <v>1.1427310231393647E-3</v>
      </c>
    </row>
    <row r="53" spans="2:12" x14ac:dyDescent="0.45">
      <c r="B53" s="293" t="s">
        <v>164</v>
      </c>
      <c r="C53" s="311">
        <f>INDEX('Motor vehicles'!$A$1:$T$76,MATCH(B53,'Motor vehicles'!$A$1:$A$76,0),7)</f>
        <v>1330.19476274</v>
      </c>
      <c r="D53" s="311">
        <f>INDEX('Motor vehicles'!$A$1:$T$76,MATCH(B53,'Motor vehicles'!$A$1:$A$76,0),8)</f>
        <v>1603.2818181499999</v>
      </c>
      <c r="E53" s="311">
        <f>INDEX('Motor vehicles'!$A$1:$T$76,MATCH(B53,'Motor vehicles'!$A$1:$A$76,0),15)</f>
        <v>115608.87885166</v>
      </c>
      <c r="F53" s="311">
        <f>INDEX('Motor vehicles'!$A$1:$T$76,MATCH(B53,'Motor vehicles'!$A$1:$A$76,0),16)</f>
        <v>129710.11086108</v>
      </c>
      <c r="G53" s="347">
        <f>INDEX('Motor vehicles'!$A$1:$T$76,MATCH(B53,'Motor vehicles'!$A$1:$A$76,0),17)</f>
        <v>1.1505991373264668E-2</v>
      </c>
      <c r="H53" s="347">
        <f>INDEX('Motor vehicles'!$A$1:$T$76,MATCH(B53,'Motor vehicles'!$A$1:$A$76,0),18)</f>
        <v>1.2360499944889575E-2</v>
      </c>
      <c r="I53" s="347">
        <f>INDEX('Motor vehicles'!$A$1:$T$76,MATCH(B53,'Motor vehicles'!$A$1:$A$76,0),19)</f>
        <v>8.5450857162490748E-4</v>
      </c>
    </row>
    <row r="54" spans="2:12" x14ac:dyDescent="0.45">
      <c r="B54" s="293" t="s">
        <v>112</v>
      </c>
      <c r="C54" s="311">
        <f>INDEX('Motor vehicles'!$A$1:$T$76,MATCH(B54,'Motor vehicles'!$A$1:$A$76,0),7)</f>
        <v>6774.2761643699996</v>
      </c>
      <c r="D54" s="311">
        <f>INDEX('Motor vehicles'!$A$1:$T$76,MATCH(B54,'Motor vehicles'!$A$1:$A$76,0),8)</f>
        <v>8572.7438196200001</v>
      </c>
      <c r="E54" s="311">
        <f>INDEX('Motor vehicles'!$A$1:$T$76,MATCH(B54,'Motor vehicles'!$A$1:$A$76,0),15)</f>
        <v>496555.53410177003</v>
      </c>
      <c r="F54" s="311">
        <f>INDEX('Motor vehicles'!$A$1:$T$76,MATCH(B54,'Motor vehicles'!$A$1:$A$76,0),16)</f>
        <v>623108.57565016998</v>
      </c>
      <c r="G54" s="347">
        <f>INDEX('Motor vehicles'!$A$1:$T$76,MATCH(B54,'Motor vehicles'!$A$1:$A$76,0),17)</f>
        <v>1.3642534820650289E-2</v>
      </c>
      <c r="H54" s="347">
        <f>INDEX('Motor vehicles'!$A$1:$T$76,MATCH(B54,'Motor vehicles'!$A$1:$A$76,0),18)</f>
        <v>1.3758025735201839E-2</v>
      </c>
      <c r="I54" s="347">
        <f>INDEX('Motor vehicles'!$A$1:$T$76,MATCH(B54,'Motor vehicles'!$A$1:$A$76,0),19)</f>
        <v>1.1549091455155015E-4</v>
      </c>
    </row>
    <row r="55" spans="2:12" x14ac:dyDescent="0.45">
      <c r="B55" s="293" t="s">
        <v>74</v>
      </c>
      <c r="C55" s="311">
        <f>INDEX('Motor vehicles'!$A$1:$T$76,MATCH(B55,'Motor vehicles'!$A$1:$A$76,0),7)</f>
        <v>10494.787907649999</v>
      </c>
      <c r="D55" s="311">
        <f>INDEX('Motor vehicles'!$A$1:$T$76,MATCH(B55,'Motor vehicles'!$A$1:$A$76,0),8)</f>
        <v>11262.160308279999</v>
      </c>
      <c r="E55" s="311">
        <f>INDEX('Motor vehicles'!$A$1:$T$76,MATCH(B55,'Motor vehicles'!$A$1:$A$76,0),15)</f>
        <v>490179.06760786998</v>
      </c>
      <c r="F55" s="311">
        <f>INDEX('Motor vehicles'!$A$1:$T$76,MATCH(B55,'Motor vehicles'!$A$1:$A$76,0),16)</f>
        <v>552840.30345001002</v>
      </c>
      <c r="G55" s="347">
        <f>INDEX('Motor vehicles'!$A$1:$T$76,MATCH(B55,'Motor vehicles'!$A$1:$A$76,0),17)</f>
        <v>2.1410110306965508E-2</v>
      </c>
      <c r="H55" s="347">
        <f>INDEX('Motor vehicles'!$A$1:$T$76,MATCH(B55,'Motor vehicles'!$A$1:$A$76,0),18)</f>
        <v>2.0371453090518694E-2</v>
      </c>
      <c r="I55" s="347">
        <f>INDEX('Motor vehicles'!$A$1:$T$76,MATCH(B55,'Motor vehicles'!$A$1:$A$76,0),19)</f>
        <v>-1.0386572164468137E-3</v>
      </c>
    </row>
    <row r="56" spans="2:12" x14ac:dyDescent="0.45">
      <c r="B56" s="293" t="s">
        <v>100</v>
      </c>
      <c r="C56" s="311">
        <f>INDEX('Motor vehicles'!$A$1:$T$76,MATCH(B56,'Motor vehicles'!$A$1:$A$76,0),7)</f>
        <v>101409.67102264</v>
      </c>
      <c r="D56" s="311">
        <f>INDEX('Motor vehicles'!$A$1:$T$76,MATCH(B56,'Motor vehicles'!$A$1:$A$76,0),8)</f>
        <v>95644.320883459994</v>
      </c>
      <c r="E56" s="311">
        <f>INDEX('Motor vehicles'!$A$1:$T$76,MATCH(B56,'Motor vehicles'!$A$1:$A$76,0),15)</f>
        <v>4983596.864085</v>
      </c>
      <c r="F56" s="311">
        <f>INDEX('Motor vehicles'!$A$1:$T$76,MATCH(B56,'Motor vehicles'!$A$1:$A$76,0),16)</f>
        <v>5032370.4042106001</v>
      </c>
      <c r="G56" s="347">
        <f>INDEX('Motor vehicles'!$A$1:$T$76,MATCH(B56,'Motor vehicles'!$A$1:$A$76,0),17)</f>
        <v>2.0348690672285959E-2</v>
      </c>
      <c r="H56" s="347">
        <f>INDEX('Motor vehicles'!$A$1:$T$76,MATCH(B56,'Motor vehicles'!$A$1:$A$76,0),18)</f>
        <v>1.9005818968221039E-2</v>
      </c>
      <c r="I56" s="347">
        <f>INDEX('Motor vehicles'!$A$1:$T$76,MATCH(B56,'Motor vehicles'!$A$1:$A$76,0),19)</f>
        <v>-1.3428717040649199E-3</v>
      </c>
    </row>
    <row r="57" spans="2:12" x14ac:dyDescent="0.45">
      <c r="B57" s="293" t="s">
        <v>109</v>
      </c>
      <c r="C57" s="311">
        <f>INDEX('Motor vehicles'!$A$1:$T$76,MATCH(B57,'Motor vehicles'!$A$1:$A$76,0),7)</f>
        <v>12771.868581889999</v>
      </c>
      <c r="D57" s="311">
        <f>INDEX('Motor vehicles'!$A$1:$T$76,MATCH(B57,'Motor vehicles'!$A$1:$A$76,0),8)</f>
        <v>12718.336716739999</v>
      </c>
      <c r="E57" s="311">
        <f>INDEX('Motor vehicles'!$A$1:$T$76,MATCH(B57,'Motor vehicles'!$A$1:$A$76,0),15)</f>
        <v>474324.68093352998</v>
      </c>
      <c r="F57" s="311">
        <f>INDEX('Motor vehicles'!$A$1:$T$76,MATCH(B57,'Motor vehicles'!$A$1:$A$76,0),16)</f>
        <v>518585.14704719</v>
      </c>
      <c r="G57" s="347">
        <f>INDEX('Motor vehicles'!$A$1:$T$76,MATCH(B57,'Motor vehicles'!$A$1:$A$76,0),17)</f>
        <v>2.6926426338923316E-2</v>
      </c>
      <c r="H57" s="347">
        <f>INDEX('Motor vehicles'!$A$1:$T$76,MATCH(B57,'Motor vehicles'!$A$1:$A$76,0),18)</f>
        <v>2.4525069391512406E-2</v>
      </c>
      <c r="I57" s="347">
        <f>INDEX('Motor vehicles'!$A$1:$T$76,MATCH(B57,'Motor vehicles'!$A$1:$A$76,0),19)</f>
        <v>-2.4013569474109105E-3</v>
      </c>
    </row>
    <row r="58" spans="2:12" x14ac:dyDescent="0.45">
      <c r="B58" s="294" t="s">
        <v>18</v>
      </c>
      <c r="C58" s="313">
        <v>19784.182767269998</v>
      </c>
      <c r="D58" s="313">
        <v>21237.925348559998</v>
      </c>
      <c r="E58" s="313">
        <v>1855726.8356911</v>
      </c>
      <c r="F58" s="313">
        <v>1898091.4722179</v>
      </c>
      <c r="G58" s="352">
        <v>1.0661150330297442E-2</v>
      </c>
      <c r="H58" s="352">
        <v>1.1189094761457257E-2</v>
      </c>
      <c r="I58" s="353">
        <v>5.2794443115981513E-4</v>
      </c>
    </row>
    <row r="60" spans="2:12" x14ac:dyDescent="0.45">
      <c r="B60" s="337" t="s">
        <v>968</v>
      </c>
    </row>
    <row r="61" spans="2:12" x14ac:dyDescent="0.45">
      <c r="B61" s="30" t="s">
        <v>54</v>
      </c>
      <c r="C61" s="30" t="s">
        <v>961</v>
      </c>
      <c r="D61" s="30" t="s">
        <v>962</v>
      </c>
      <c r="E61" s="30" t="s">
        <v>963</v>
      </c>
      <c r="F61" s="30" t="s">
        <v>964</v>
      </c>
      <c r="G61" s="334" t="s">
        <v>930</v>
      </c>
      <c r="H61" s="334" t="s">
        <v>931</v>
      </c>
      <c r="I61" s="334" t="s">
        <v>932</v>
      </c>
      <c r="K61" s="358" t="s">
        <v>986</v>
      </c>
      <c r="L61" s="359">
        <f>AVERAGE(I62:I71)</f>
        <v>2.4112737248210931E-3</v>
      </c>
    </row>
    <row r="62" spans="2:12" x14ac:dyDescent="0.45">
      <c r="B62" s="293" t="s">
        <v>66</v>
      </c>
      <c r="C62" s="311">
        <f>INDEX(Machinery!$A$1:$T$76,MATCH(B62,Machinery!$A$1:$A$76,0),7)</f>
        <v>11561.572216459999</v>
      </c>
      <c r="D62" s="311">
        <f>INDEX(Machinery!$A$1:$T$76,MATCH(B62,Machinery!$A$1:$A$76,0),8)</f>
        <v>17509.209972820001</v>
      </c>
      <c r="E62" s="311">
        <f>INDEX(Machinery!$A$1:$T$76,MATCH(B62,Machinery!$A$1:$A$76,0),15)</f>
        <v>829203.89806390996</v>
      </c>
      <c r="F62" s="311">
        <f>INDEX(Machinery!$A$1:$T$76,MATCH(B62,Machinery!$A$1:$A$76,0),16)</f>
        <v>928325.09368340997</v>
      </c>
      <c r="G62" s="347">
        <f>INDEX(Machinery!$A$1:$T$76,MATCH(B62,Machinery!$A$1:$A$76,0),17)</f>
        <v>1.3942978612926038E-2</v>
      </c>
      <c r="H62" s="347">
        <f>INDEX(Machinery!$A$1:$T$76,MATCH(B62,Machinery!$A$1:$A$76,0),18)</f>
        <v>1.8861075814881754E-2</v>
      </c>
      <c r="I62" s="347">
        <f>INDEX(Machinery!$A$1:$T$76,MATCH(B62,Machinery!$A$1:$A$76,0),19)</f>
        <v>4.9180972019557158E-3</v>
      </c>
      <c r="K62" s="358" t="s">
        <v>992</v>
      </c>
      <c r="L62" s="359">
        <f>H72+L61</f>
        <v>9.8345293279064189E-3</v>
      </c>
    </row>
    <row r="63" spans="2:12" x14ac:dyDescent="0.45">
      <c r="B63" s="293" t="s">
        <v>72</v>
      </c>
      <c r="C63" s="311">
        <f>INDEX(Machinery!$A$1:$T$76,MATCH(B63,Machinery!$A$1:$A$76,0),7)</f>
        <v>9647.2481167599999</v>
      </c>
      <c r="D63" s="311">
        <f>INDEX(Machinery!$A$1:$T$76,MATCH(B63,Machinery!$A$1:$A$76,0),8)</f>
        <v>11989.377056400001</v>
      </c>
      <c r="E63" s="311">
        <f>INDEX(Machinery!$A$1:$T$76,MATCH(B63,Machinery!$A$1:$A$76,0),15)</f>
        <v>410010.85265116999</v>
      </c>
      <c r="F63" s="311">
        <f>INDEX(Machinery!$A$1:$T$76,MATCH(B63,Machinery!$A$1:$A$76,0),16)</f>
        <v>432694.04992214998</v>
      </c>
      <c r="G63" s="347">
        <f>INDEX(Machinery!$A$1:$T$76,MATCH(B63,Machinery!$A$1:$A$76,0),17)</f>
        <v>2.3529250639050057E-2</v>
      </c>
      <c r="H63" s="347">
        <f>INDEX(Machinery!$A$1:$T$76,MATCH(B63,Machinery!$A$1:$A$76,0),18)</f>
        <v>2.7708670961750274E-2</v>
      </c>
      <c r="I63" s="347">
        <f>INDEX(Machinery!$A$1:$T$76,MATCH(B63,Machinery!$A$1:$A$76,0),19)</f>
        <v>4.1794203227002169E-3</v>
      </c>
      <c r="K63" s="358" t="s">
        <v>996</v>
      </c>
      <c r="L63" s="363">
        <f>D72</f>
        <v>14090.01815631</v>
      </c>
    </row>
    <row r="64" spans="2:12" x14ac:dyDescent="0.45">
      <c r="B64" s="293" t="s">
        <v>907</v>
      </c>
      <c r="C64" s="311">
        <f>INDEX(Machinery!$A$1:$T$76,MATCH(B64,Machinery!$A$1:$A$76,0),7)</f>
        <v>273840.19581425999</v>
      </c>
      <c r="D64" s="311">
        <f>INDEX(Machinery!$A$1:$T$76,MATCH(B64,Machinery!$A$1:$A$76,0),8)</f>
        <v>442072.76715456002</v>
      </c>
      <c r="E64" s="311">
        <f>INDEX(Machinery!$A$1:$T$76,MATCH(B64,Machinery!$A$1:$A$76,0),15)</f>
        <v>11048064.947659001</v>
      </c>
      <c r="F64" s="311">
        <f>INDEX(Machinery!$A$1:$T$76,MATCH(B64,Machinery!$A$1:$A$76,0),16)</f>
        <v>15827750.501527</v>
      </c>
      <c r="G64" s="347">
        <f>INDEX(Machinery!$A$1:$T$76,MATCH(B64,Machinery!$A$1:$A$76,0),17)</f>
        <v>2.478625868978844E-2</v>
      </c>
      <c r="H64" s="347">
        <f>INDEX(Machinery!$A$1:$T$76,MATCH(B64,Machinery!$A$1:$A$76,0),18)</f>
        <v>2.7930233491607701E-2</v>
      </c>
      <c r="I64" s="347">
        <f>INDEX(Machinery!$A$1:$T$76,MATCH(B64,Machinery!$A$1:$A$76,0),19)</f>
        <v>3.1439748018192611E-3</v>
      </c>
      <c r="K64" s="358" t="s">
        <v>993</v>
      </c>
      <c r="L64" s="363">
        <f>L62*$L$3</f>
        <v>24218.048913261588</v>
      </c>
    </row>
    <row r="65" spans="2:12" x14ac:dyDescent="0.45">
      <c r="B65" s="293" t="s">
        <v>121</v>
      </c>
      <c r="C65" s="311">
        <f>INDEX(Machinery!$A$1:$T$76,MATCH(B65,Machinery!$A$1:$A$76,0),7)</f>
        <v>5501.68838228</v>
      </c>
      <c r="D65" s="311">
        <f>INDEX(Machinery!$A$1:$T$76,MATCH(B65,Machinery!$A$1:$A$76,0),8)</f>
        <v>7574.6556294599995</v>
      </c>
      <c r="E65" s="311">
        <f>INDEX(Machinery!$A$1:$T$76,MATCH(B65,Machinery!$A$1:$A$76,0),15)</f>
        <v>331298.98374970001</v>
      </c>
      <c r="F65" s="311">
        <f>INDEX(Machinery!$A$1:$T$76,MATCH(B65,Machinery!$A$1:$A$76,0),16)</f>
        <v>394237.177708</v>
      </c>
      <c r="G65" s="347">
        <f>INDEX(Machinery!$A$1:$T$76,MATCH(B65,Machinery!$A$1:$A$76,0),17)</f>
        <v>1.6606414906592606E-2</v>
      </c>
      <c r="H65" s="347">
        <f>INDEX(Machinery!$A$1:$T$76,MATCH(B65,Machinery!$A$1:$A$76,0),18)</f>
        <v>1.9213448293986943E-2</v>
      </c>
      <c r="I65" s="347">
        <f>INDEX(Machinery!$A$1:$T$76,MATCH(B65,Machinery!$A$1:$A$76,0),19)</f>
        <v>2.607033387394337E-3</v>
      </c>
      <c r="K65" s="358" t="s">
        <v>39</v>
      </c>
      <c r="L65" s="359">
        <f>(L64/L63)^(1/9)-1</f>
        <v>6.202905885973542E-2</v>
      </c>
    </row>
    <row r="66" spans="2:12" x14ac:dyDescent="0.45">
      <c r="B66" s="293" t="s">
        <v>104</v>
      </c>
      <c r="C66" s="311">
        <f>INDEX(Machinery!$A$1:$T$76,MATCH(B66,Machinery!$A$1:$A$76,0),7)</f>
        <v>33729.719946259997</v>
      </c>
      <c r="D66" s="311">
        <f>INDEX(Machinery!$A$1:$T$76,MATCH(B66,Machinery!$A$1:$A$76,0),8)</f>
        <v>42997.644424229999</v>
      </c>
      <c r="E66" s="311">
        <f>INDEX(Machinery!$A$1:$T$76,MATCH(B66,Machinery!$A$1:$A$76,0),15)</f>
        <v>1478297.0807395</v>
      </c>
      <c r="F66" s="311">
        <f>INDEX(Machinery!$A$1:$T$76,MATCH(B66,Machinery!$A$1:$A$76,0),16)</f>
        <v>1710728.7967964001</v>
      </c>
      <c r="G66" s="347">
        <f>INDEX(Machinery!$A$1:$T$76,MATCH(B66,Machinery!$A$1:$A$76,0),17)</f>
        <v>2.281660458220422E-2</v>
      </c>
      <c r="H66" s="347">
        <f>INDEX(Machinery!$A$1:$T$76,MATCH(B66,Machinery!$A$1:$A$76,0),18)</f>
        <v>2.5134109219853918E-2</v>
      </c>
      <c r="I66" s="347">
        <f>INDEX(Machinery!$A$1:$T$76,MATCH(B66,Machinery!$A$1:$A$76,0),19)</f>
        <v>2.3175046376496984E-3</v>
      </c>
    </row>
    <row r="67" spans="2:12" x14ac:dyDescent="0.45">
      <c r="B67" s="293" t="s">
        <v>126</v>
      </c>
      <c r="C67" s="311">
        <f>INDEX(Machinery!$A$1:$T$76,MATCH(B67,Machinery!$A$1:$A$76,0),7)</f>
        <v>5684.6176638099996</v>
      </c>
      <c r="D67" s="311">
        <f>INDEX(Machinery!$A$1:$T$76,MATCH(B67,Machinery!$A$1:$A$76,0),8)</f>
        <v>6774.3029251400003</v>
      </c>
      <c r="E67" s="311">
        <f>INDEX(Machinery!$A$1:$T$76,MATCH(B67,Machinery!$A$1:$A$76,0),15)</f>
        <v>247207.29862345001</v>
      </c>
      <c r="F67" s="311">
        <f>INDEX(Machinery!$A$1:$T$76,MATCH(B67,Machinery!$A$1:$A$76,0),16)</f>
        <v>270499.52733732999</v>
      </c>
      <c r="G67" s="347">
        <f>INDEX(Machinery!$A$1:$T$76,MATCH(B67,Machinery!$A$1:$A$76,0),17)</f>
        <v>2.2995347206430573E-2</v>
      </c>
      <c r="H67" s="347">
        <f>INDEX(Machinery!$A$1:$T$76,MATCH(B67,Machinery!$A$1:$A$76,0),18)</f>
        <v>2.5043677494829841E-2</v>
      </c>
      <c r="I67" s="347">
        <f>INDEX(Machinery!$A$1:$T$76,MATCH(B67,Machinery!$A$1:$A$76,0),19)</f>
        <v>2.0483302883992673E-3</v>
      </c>
    </row>
    <row r="68" spans="2:12" x14ac:dyDescent="0.45">
      <c r="B68" s="293" t="s">
        <v>116</v>
      </c>
      <c r="C68" s="311">
        <f>INDEX(Machinery!$A$1:$T$76,MATCH(B68,Machinery!$A$1:$A$76,0),7)</f>
        <v>5849.2394046700001</v>
      </c>
      <c r="D68" s="311">
        <f>INDEX(Machinery!$A$1:$T$76,MATCH(B68,Machinery!$A$1:$A$76,0),8)</f>
        <v>7370.6438865700002</v>
      </c>
      <c r="E68" s="311">
        <f>INDEX(Machinery!$A$1:$T$76,MATCH(B68,Machinery!$A$1:$A$76,0),15)</f>
        <v>315318.76572541997</v>
      </c>
      <c r="F68" s="311">
        <f>INDEX(Machinery!$A$1:$T$76,MATCH(B68,Machinery!$A$1:$A$76,0),16)</f>
        <v>361238.79673869</v>
      </c>
      <c r="G68" s="347">
        <f>INDEX(Machinery!$A$1:$T$76,MATCH(B68,Machinery!$A$1:$A$76,0),17)</f>
        <v>1.8550241978821921E-2</v>
      </c>
      <c r="H68" s="347">
        <f>INDEX(Machinery!$A$1:$T$76,MATCH(B68,Machinery!$A$1:$A$76,0),18)</f>
        <v>2.0403799240594073E-2</v>
      </c>
      <c r="I68" s="347">
        <f>INDEX(Machinery!$A$1:$T$76,MATCH(B68,Machinery!$A$1:$A$76,0),19)</f>
        <v>1.8535572617721513E-3</v>
      </c>
    </row>
    <row r="69" spans="2:12" x14ac:dyDescent="0.45">
      <c r="B69" s="293" t="s">
        <v>101</v>
      </c>
      <c r="C69" s="311">
        <f>INDEX(Machinery!$A$1:$T$76,MATCH(B69,Machinery!$A$1:$A$76,0),7)</f>
        <v>39937.89884414</v>
      </c>
      <c r="D69" s="311">
        <f>INDEX(Machinery!$A$1:$T$76,MATCH(B69,Machinery!$A$1:$A$76,0),8)</f>
        <v>43734.811177750002</v>
      </c>
      <c r="E69" s="311">
        <f>INDEX(Machinery!$A$1:$T$76,MATCH(B69,Machinery!$A$1:$A$76,0),15)</f>
        <v>1924364.2462229</v>
      </c>
      <c r="F69" s="311">
        <f>INDEX(Machinery!$A$1:$T$76,MATCH(B69,Machinery!$A$1:$A$76,0),16)</f>
        <v>1980878.3634254001</v>
      </c>
      <c r="G69" s="347">
        <f>INDEX(Machinery!$A$1:$T$76,MATCH(B69,Machinery!$A$1:$A$76,0),17)</f>
        <v>2.0753814628664626E-2</v>
      </c>
      <c r="H69" s="347">
        <f>INDEX(Machinery!$A$1:$T$76,MATCH(B69,Machinery!$A$1:$A$76,0),18)</f>
        <v>2.2078494058626764E-2</v>
      </c>
      <c r="I69" s="347">
        <f>INDEX(Machinery!$A$1:$T$76,MATCH(B69,Machinery!$A$1:$A$76,0),19)</f>
        <v>1.3246794299621376E-3</v>
      </c>
    </row>
    <row r="70" spans="2:12" x14ac:dyDescent="0.45">
      <c r="B70" s="293" t="s">
        <v>100</v>
      </c>
      <c r="C70" s="311">
        <f>INDEX(Machinery!$A$1:$T$76,MATCH(B70,Machinery!$A$1:$A$76,0),7)</f>
        <v>153505.60606214</v>
      </c>
      <c r="D70" s="311">
        <f>INDEX(Machinery!$A$1:$T$76,MATCH(B70,Machinery!$A$1:$A$76,0),8)</f>
        <v>160046.20984222999</v>
      </c>
      <c r="E70" s="311">
        <f>INDEX(Machinery!$A$1:$T$76,MATCH(B70,Machinery!$A$1:$A$76,0),15)</f>
        <v>4983596.864085</v>
      </c>
      <c r="F70" s="311">
        <f>INDEX(Machinery!$A$1:$T$76,MATCH(B70,Machinery!$A$1:$A$76,0),16)</f>
        <v>5032370.4042106001</v>
      </c>
      <c r="G70" s="347">
        <f>INDEX(Machinery!$A$1:$T$76,MATCH(B70,Machinery!$A$1:$A$76,0),17)</f>
        <v>3.0802171654051712E-2</v>
      </c>
      <c r="H70" s="347">
        <f>INDEX(Machinery!$A$1:$T$76,MATCH(B70,Machinery!$A$1:$A$76,0),18)</f>
        <v>3.1803344544813081E-2</v>
      </c>
      <c r="I70" s="347">
        <f>INDEX(Machinery!$A$1:$T$76,MATCH(B70,Machinery!$A$1:$A$76,0),19)</f>
        <v>1.001172890761369E-3</v>
      </c>
    </row>
    <row r="71" spans="2:12" x14ac:dyDescent="0.45">
      <c r="B71" s="293" t="s">
        <v>108</v>
      </c>
      <c r="C71" s="311">
        <f>INDEX(Machinery!$A$1:$T$76,MATCH(B71,Machinery!$A$1:$A$76,0),7)</f>
        <v>5220.5343352500004</v>
      </c>
      <c r="D71" s="311">
        <f>INDEX(Machinery!$A$1:$T$76,MATCH(B71,Machinery!$A$1:$A$76,0),8)</f>
        <v>7472.6681757699998</v>
      </c>
      <c r="E71" s="311">
        <f>INDEX(Machinery!$A$1:$T$76,MATCH(B71,Machinery!$A$1:$A$76,0),15)</f>
        <v>659235.83503077005</v>
      </c>
      <c r="F71" s="311">
        <f>INDEX(Machinery!$A$1:$T$76,MATCH(B71,Machinery!$A$1:$A$76,0),16)</f>
        <v>865088.75381619995</v>
      </c>
      <c r="G71" s="347">
        <f>INDEX(Machinery!$A$1:$T$76,MATCH(B71,Machinery!$A$1:$A$76,0),17)</f>
        <v>7.9190694101244213E-3</v>
      </c>
      <c r="H71" s="347">
        <f>INDEX(Machinery!$A$1:$T$76,MATCH(B71,Machinery!$A$1:$A$76,0),18)</f>
        <v>8.6380364359212002E-3</v>
      </c>
      <c r="I71" s="347">
        <f>INDEX(Machinery!$A$1:$T$76,MATCH(B71,Machinery!$A$1:$A$76,0),19)</f>
        <v>7.1896702579677882E-4</v>
      </c>
    </row>
    <row r="72" spans="2:12" x14ac:dyDescent="0.45">
      <c r="B72" s="294" t="s">
        <v>18</v>
      </c>
      <c r="C72" s="313">
        <v>13623.34599752</v>
      </c>
      <c r="D72" s="313">
        <v>14090.01815631</v>
      </c>
      <c r="E72" s="313">
        <v>1855726.8356911</v>
      </c>
      <c r="F72" s="313">
        <v>1898091.4722179</v>
      </c>
      <c r="G72" s="352">
        <v>7.3412453468381655E-3</v>
      </c>
      <c r="H72" s="352">
        <v>7.4232556030853249E-3</v>
      </c>
      <c r="I72" s="353">
        <v>8.2010256247159324E-5</v>
      </c>
    </row>
    <row r="74" spans="2:12" x14ac:dyDescent="0.45">
      <c r="B74" s="337" t="s">
        <v>969</v>
      </c>
    </row>
    <row r="75" spans="2:12" x14ac:dyDescent="0.45">
      <c r="B75" s="30" t="s">
        <v>54</v>
      </c>
      <c r="C75" s="30" t="s">
        <v>961</v>
      </c>
      <c r="D75" s="30" t="s">
        <v>962</v>
      </c>
      <c r="E75" s="30" t="s">
        <v>963</v>
      </c>
      <c r="F75" s="30" t="s">
        <v>964</v>
      </c>
      <c r="G75" s="334" t="s">
        <v>930</v>
      </c>
      <c r="H75" s="334" t="s">
        <v>931</v>
      </c>
      <c r="I75" s="334" t="s">
        <v>932</v>
      </c>
      <c r="K75" s="358" t="s">
        <v>986</v>
      </c>
      <c r="L75" s="359">
        <f>AVERAGE(I76:I85)</f>
        <v>2.3385969254927524E-3</v>
      </c>
    </row>
    <row r="76" spans="2:12" x14ac:dyDescent="0.45">
      <c r="B76" s="293" t="s">
        <v>907</v>
      </c>
      <c r="C76" s="311">
        <f>INDEX(Eletrical!$A$1:$T$76,MATCH(B76,Eletrical!$A$1:$A$76,0),7)</f>
        <v>206856.22806317999</v>
      </c>
      <c r="D76" s="311">
        <f>INDEX(Eletrical!$A$1:$T$76,MATCH(B76,Eletrical!$A$1:$A$76,0),8)</f>
        <v>375967.60295452003</v>
      </c>
      <c r="E76" s="311">
        <f>INDEX(Eletrical!$A$1:$T$76,MATCH(B76,Eletrical!$A$1:$A$76,0),15)</f>
        <v>11048064.947659001</v>
      </c>
      <c r="F76" s="311">
        <f>INDEX(Eletrical!$A$1:$T$76,MATCH(B76,Eletrical!$A$1:$A$76,0),16)</f>
        <v>15827750.501527</v>
      </c>
      <c r="G76" s="347">
        <f>INDEX(Eletrical!$A$1:$T$76,MATCH(B76,Eletrical!$A$1:$A$76,0),17)</f>
        <v>1.8723299423308623E-2</v>
      </c>
      <c r="H76" s="347">
        <f>INDEX(Eletrical!$A$1:$T$76,MATCH(B76,Eletrical!$A$1:$A$76,0),18)</f>
        <v>2.3753697843433161E-2</v>
      </c>
      <c r="I76" s="347">
        <f>INDEX(Eletrical!$A$1:$T$76,MATCH(B76,Eletrical!$A$1:$A$76,0),19)</f>
        <v>5.0303984201245378E-3</v>
      </c>
      <c r="K76" s="358" t="s">
        <v>992</v>
      </c>
      <c r="L76" s="359">
        <f>H86+L75</f>
        <v>6.5080664094542048E-3</v>
      </c>
    </row>
    <row r="77" spans="2:12" x14ac:dyDescent="0.45">
      <c r="B77" s="293" t="s">
        <v>113</v>
      </c>
      <c r="C77" s="311">
        <f>INDEX(Eletrical!$A$1:$T$76,MATCH(B77,Eletrical!$A$1:$A$76,0),7)</f>
        <v>1042.2348284499999</v>
      </c>
      <c r="D77" s="311">
        <f>INDEX(Eletrical!$A$1:$T$76,MATCH(B77,Eletrical!$A$1:$A$76,0),8)</f>
        <v>1882.24108914</v>
      </c>
      <c r="E77" s="311">
        <f>INDEX(Eletrical!$A$1:$T$76,MATCH(B77,Eletrical!$A$1:$A$76,0),15)</f>
        <v>139098.07965294999</v>
      </c>
      <c r="F77" s="311">
        <f>INDEX(Eletrical!$A$1:$T$76,MATCH(B77,Eletrical!$A$1:$A$76,0),16)</f>
        <v>167320.49519441</v>
      </c>
      <c r="G77" s="347">
        <f>INDEX(Eletrical!$A$1:$T$76,MATCH(B77,Eletrical!$A$1:$A$76,0),17)</f>
        <v>7.4928053000471182E-3</v>
      </c>
      <c r="H77" s="347">
        <f>INDEX(Eletrical!$A$1:$T$76,MATCH(B77,Eletrical!$A$1:$A$76,0),18)</f>
        <v>1.1249315793340323E-2</v>
      </c>
      <c r="I77" s="347">
        <f>INDEX(Eletrical!$A$1:$T$76,MATCH(B77,Eletrical!$A$1:$A$76,0),19)</f>
        <v>3.7565104932932051E-3</v>
      </c>
      <c r="K77" s="358" t="s">
        <v>996</v>
      </c>
      <c r="L77" s="363">
        <f>D86</f>
        <v>7914.0344711799999</v>
      </c>
    </row>
    <row r="78" spans="2:12" x14ac:dyDescent="0.45">
      <c r="B78" s="293" t="s">
        <v>160</v>
      </c>
      <c r="C78" s="311">
        <f>INDEX(Eletrical!$A$1:$T$76,MATCH(B78,Eletrical!$A$1:$A$76,0),7)</f>
        <v>396.76301967000001</v>
      </c>
      <c r="D78" s="311">
        <f>INDEX(Eletrical!$A$1:$T$76,MATCH(B78,Eletrical!$A$1:$A$76,0),8)</f>
        <v>653.65023574999998</v>
      </c>
      <c r="E78" s="311">
        <f>INDEX(Eletrical!$A$1:$T$76,MATCH(B78,Eletrical!$A$1:$A$76,0),15)</f>
        <v>60854.013563</v>
      </c>
      <c r="F78" s="311">
        <f>INDEX(Eletrical!$A$1:$T$76,MATCH(B78,Eletrical!$A$1:$A$76,0),16)</f>
        <v>70836.911882080007</v>
      </c>
      <c r="G78" s="347">
        <f>INDEX(Eletrical!$A$1:$T$76,MATCH(B78,Eletrical!$A$1:$A$76,0),17)</f>
        <v>6.5199153915993617E-3</v>
      </c>
      <c r="H78" s="347">
        <f>INDEX(Eletrical!$A$1:$T$76,MATCH(B78,Eletrical!$A$1:$A$76,0),18)</f>
        <v>9.2275371467083582E-3</v>
      </c>
      <c r="I78" s="347">
        <f>INDEX(Eletrical!$A$1:$T$76,MATCH(B78,Eletrical!$A$1:$A$76,0),19)</f>
        <v>2.7076217551089965E-3</v>
      </c>
      <c r="K78" s="358" t="s">
        <v>993</v>
      </c>
      <c r="L78" s="363">
        <f>L76*$L$3</f>
        <v>16026.457940155367</v>
      </c>
    </row>
    <row r="79" spans="2:12" x14ac:dyDescent="0.45">
      <c r="B79" s="293" t="s">
        <v>112</v>
      </c>
      <c r="C79" s="311">
        <f>INDEX(Eletrical!$A$1:$T$76,MATCH(B79,Eletrical!$A$1:$A$76,0),7)</f>
        <v>3158.4352047500001</v>
      </c>
      <c r="D79" s="311">
        <f>INDEX(Eletrical!$A$1:$T$76,MATCH(B79,Eletrical!$A$1:$A$76,0),8)</f>
        <v>5628.9724057499998</v>
      </c>
      <c r="E79" s="311">
        <f>INDEX(Eletrical!$A$1:$T$76,MATCH(B79,Eletrical!$A$1:$A$76,0),15)</f>
        <v>496555.53410177003</v>
      </c>
      <c r="F79" s="311">
        <f>INDEX(Eletrical!$A$1:$T$76,MATCH(B79,Eletrical!$A$1:$A$76,0),16)</f>
        <v>623108.57565016998</v>
      </c>
      <c r="G79" s="347">
        <f>INDEX(Eletrical!$A$1:$T$76,MATCH(B79,Eletrical!$A$1:$A$76,0),17)</f>
        <v>6.3606887605499379E-3</v>
      </c>
      <c r="H79" s="347">
        <f>INDEX(Eletrical!$A$1:$T$76,MATCH(B79,Eletrical!$A$1:$A$76,0),18)</f>
        <v>9.0336943282742707E-3</v>
      </c>
      <c r="I79" s="347">
        <f>INDEX(Eletrical!$A$1:$T$76,MATCH(B79,Eletrical!$A$1:$A$76,0),19)</f>
        <v>2.6730055677243328E-3</v>
      </c>
      <c r="K79" s="358" t="s">
        <v>39</v>
      </c>
      <c r="L79" s="359">
        <f>(L78/L77)^(1/9)-1</f>
        <v>8.1555588293353853E-2</v>
      </c>
    </row>
    <row r="80" spans="2:12" x14ac:dyDescent="0.45">
      <c r="B80" s="293" t="s">
        <v>111</v>
      </c>
      <c r="C80" s="311">
        <f>INDEX(Eletrical!$A$1:$T$76,MATCH(B80,Eletrical!$A$1:$A$76,0),7)</f>
        <v>3593.9968155299998</v>
      </c>
      <c r="D80" s="311">
        <f>INDEX(Eletrical!$A$1:$T$76,MATCH(B80,Eletrical!$A$1:$A$76,0),8)</f>
        <v>4595.6493382600001</v>
      </c>
      <c r="E80" s="311">
        <f>INDEX(Eletrical!$A$1:$T$76,MATCH(B80,Eletrical!$A$1:$A$76,0),15)</f>
        <v>220291.04889604999</v>
      </c>
      <c r="F80" s="311">
        <f>INDEX(Eletrical!$A$1:$T$76,MATCH(B80,Eletrical!$A$1:$A$76,0),16)</f>
        <v>247058.51905223</v>
      </c>
      <c r="G80" s="347">
        <f>INDEX(Eletrical!$A$1:$T$76,MATCH(B80,Eletrical!$A$1:$A$76,0),17)</f>
        <v>1.6314765550124191E-2</v>
      </c>
      <c r="H80" s="347">
        <f>INDEX(Eletrical!$A$1:$T$76,MATCH(B80,Eletrical!$A$1:$A$76,0),18)</f>
        <v>1.8601460722301368E-2</v>
      </c>
      <c r="I80" s="347">
        <f>INDEX(Eletrical!$A$1:$T$76,MATCH(B80,Eletrical!$A$1:$A$76,0),19)</f>
        <v>2.2866951721771771E-3</v>
      </c>
    </row>
    <row r="81" spans="2:12" x14ac:dyDescent="0.45">
      <c r="B81" s="293" t="s">
        <v>72</v>
      </c>
      <c r="C81" s="311">
        <f>INDEX(Eletrical!$A$1:$T$76,MATCH(B81,Eletrical!$A$1:$A$76,0),7)</f>
        <v>5260.2476380300004</v>
      </c>
      <c r="D81" s="311">
        <f>INDEX(Eletrical!$A$1:$T$76,MATCH(B81,Eletrical!$A$1:$A$76,0),8)</f>
        <v>6440.2840800499998</v>
      </c>
      <c r="E81" s="311">
        <f>INDEX(Eletrical!$A$1:$T$76,MATCH(B81,Eletrical!$A$1:$A$76,0),15)</f>
        <v>410010.85265116999</v>
      </c>
      <c r="F81" s="311">
        <f>INDEX(Eletrical!$A$1:$T$76,MATCH(B81,Eletrical!$A$1:$A$76,0),16)</f>
        <v>432694.04992214998</v>
      </c>
      <c r="G81" s="347">
        <f>INDEX(Eletrical!$A$1:$T$76,MATCH(B81,Eletrical!$A$1:$A$76,0),17)</f>
        <v>1.2829532691675668E-2</v>
      </c>
      <c r="H81" s="347">
        <f>INDEX(Eletrical!$A$1:$T$76,MATCH(B81,Eletrical!$A$1:$A$76,0),18)</f>
        <v>1.4884152165274127E-2</v>
      </c>
      <c r="I81" s="347">
        <f>INDEX(Eletrical!$A$1:$T$76,MATCH(B81,Eletrical!$A$1:$A$76,0),19)</f>
        <v>2.0546194735984596E-3</v>
      </c>
    </row>
    <row r="82" spans="2:12" x14ac:dyDescent="0.45">
      <c r="B82" s="293" t="s">
        <v>162</v>
      </c>
      <c r="C82" s="311">
        <f>INDEX(Eletrical!$A$1:$T$76,MATCH(B82,Eletrical!$A$1:$A$76,0),7)</f>
        <v>1032.0286228499999</v>
      </c>
      <c r="D82" s="311">
        <f>INDEX(Eletrical!$A$1:$T$76,MATCH(B82,Eletrical!$A$1:$A$76,0),8)</f>
        <v>1681.9427603199999</v>
      </c>
      <c r="E82" s="311">
        <f>INDEX(Eletrical!$A$1:$T$76,MATCH(B82,Eletrical!$A$1:$A$76,0),15)</f>
        <v>204518.17392167001</v>
      </c>
      <c r="F82" s="311">
        <f>INDEX(Eletrical!$A$1:$T$76,MATCH(B82,Eletrical!$A$1:$A$76,0),16)</f>
        <v>254974.25152873</v>
      </c>
      <c r="G82" s="347">
        <f>INDEX(Eletrical!$A$1:$T$76,MATCH(B82,Eletrical!$A$1:$A$76,0),17)</f>
        <v>5.0461462815782057E-3</v>
      </c>
      <c r="H82" s="347">
        <f>INDEX(Eletrical!$A$1:$T$76,MATCH(B82,Eletrical!$A$1:$A$76,0),18)</f>
        <v>6.596520041673627E-3</v>
      </c>
      <c r="I82" s="347">
        <f>INDEX(Eletrical!$A$1:$T$76,MATCH(B82,Eletrical!$A$1:$A$76,0),19)</f>
        <v>1.5503737600954214E-3</v>
      </c>
    </row>
    <row r="83" spans="2:12" x14ac:dyDescent="0.45">
      <c r="B83" s="293" t="s">
        <v>157</v>
      </c>
      <c r="C83" s="311">
        <f>INDEX(Eletrical!$A$1:$T$76,MATCH(B83,Eletrical!$A$1:$A$76,0),7)</f>
        <v>1062.7063783599999</v>
      </c>
      <c r="D83" s="311">
        <f>INDEX(Eletrical!$A$1:$T$76,MATCH(B83,Eletrical!$A$1:$A$76,0),8)</f>
        <v>1344.2723556599999</v>
      </c>
      <c r="E83" s="311">
        <f>INDEX(Eletrical!$A$1:$T$76,MATCH(B83,Eletrical!$A$1:$A$76,0),15)</f>
        <v>94460.171576160006</v>
      </c>
      <c r="F83" s="311">
        <f>INDEX(Eletrical!$A$1:$T$76,MATCH(B83,Eletrical!$A$1:$A$76,0),16)</f>
        <v>107076.6714533</v>
      </c>
      <c r="G83" s="347">
        <f>INDEX(Eletrical!$A$1:$T$76,MATCH(B83,Eletrical!$A$1:$A$76,0),17)</f>
        <v>1.1250311751796641E-2</v>
      </c>
      <c r="H83" s="347">
        <f>INDEX(Eletrical!$A$1:$T$76,MATCH(B83,Eletrical!$A$1:$A$76,0),18)</f>
        <v>1.2554297191113992E-2</v>
      </c>
      <c r="I83" s="347">
        <f>INDEX(Eletrical!$A$1:$T$76,MATCH(B83,Eletrical!$A$1:$A$76,0),19)</f>
        <v>1.3039854393173504E-3</v>
      </c>
    </row>
    <row r="84" spans="2:12" x14ac:dyDescent="0.45">
      <c r="B84" s="293" t="s">
        <v>144</v>
      </c>
      <c r="C84" s="311">
        <f>INDEX(Eletrical!$A$1:$T$76,MATCH(B84,Eletrical!$A$1:$A$76,0),7)</f>
        <v>1945.2200841399999</v>
      </c>
      <c r="D84" s="311">
        <f>INDEX(Eletrical!$A$1:$T$76,MATCH(B84,Eletrical!$A$1:$A$76,0),8)</f>
        <v>2719.1244554300001</v>
      </c>
      <c r="E84" s="311">
        <f>INDEX(Eletrical!$A$1:$T$76,MATCH(B84,Eletrical!$A$1:$A$76,0),15)</f>
        <v>301830.41438700003</v>
      </c>
      <c r="F84" s="311">
        <f>INDEX(Eletrical!$A$1:$T$76,MATCH(B84,Eletrical!$A$1:$A$76,0),16)</f>
        <v>356559.39228144003</v>
      </c>
      <c r="G84" s="347">
        <f>INDEX(Eletrical!$A$1:$T$76,MATCH(B84,Eletrical!$A$1:$A$76,0),17)</f>
        <v>6.4447450999616076E-3</v>
      </c>
      <c r="H84" s="347">
        <f>INDEX(Eletrical!$A$1:$T$76,MATCH(B84,Eletrical!$A$1:$A$76,0),18)</f>
        <v>7.6260070952884522E-3</v>
      </c>
      <c r="I84" s="347">
        <f>INDEX(Eletrical!$A$1:$T$76,MATCH(B84,Eletrical!$A$1:$A$76,0),19)</f>
        <v>1.1812619953268447E-3</v>
      </c>
    </row>
    <row r="85" spans="2:12" x14ac:dyDescent="0.45">
      <c r="B85" s="293" t="s">
        <v>104</v>
      </c>
      <c r="C85" s="311">
        <f>INDEX(Eletrical!$A$1:$T$76,MATCH(B85,Eletrical!$A$1:$A$76,0),7)</f>
        <v>26066.193801099998</v>
      </c>
      <c r="D85" s="311">
        <f>INDEX(Eletrical!$A$1:$T$76,MATCH(B85,Eletrical!$A$1:$A$76,0),8)</f>
        <v>31604.138439639999</v>
      </c>
      <c r="E85" s="311">
        <f>INDEX(Eletrical!$A$1:$T$76,MATCH(B85,Eletrical!$A$1:$A$76,0),15)</f>
        <v>1478297.0807395</v>
      </c>
      <c r="F85" s="311">
        <f>INDEX(Eletrical!$A$1:$T$76,MATCH(B85,Eletrical!$A$1:$A$76,0),16)</f>
        <v>1710728.7967964001</v>
      </c>
      <c r="G85" s="347">
        <f>INDEX(Eletrical!$A$1:$T$76,MATCH(B85,Eletrical!$A$1:$A$76,0),17)</f>
        <v>1.7632581529593974E-2</v>
      </c>
      <c r="H85" s="347">
        <f>INDEX(Eletrical!$A$1:$T$76,MATCH(B85,Eletrical!$A$1:$A$76,0),18)</f>
        <v>1.8474078707755172E-2</v>
      </c>
      <c r="I85" s="347">
        <f>INDEX(Eletrical!$A$1:$T$76,MATCH(B85,Eletrical!$A$1:$A$76,0),19)</f>
        <v>8.4149717816119768E-4</v>
      </c>
    </row>
    <row r="86" spans="2:12" x14ac:dyDescent="0.45">
      <c r="B86" s="294" t="s">
        <v>18</v>
      </c>
      <c r="C86" s="313">
        <v>8596.9176595699992</v>
      </c>
      <c r="D86" s="313">
        <v>7914.0344711799999</v>
      </c>
      <c r="E86" s="313">
        <v>1855726.8356911</v>
      </c>
      <c r="F86" s="313">
        <v>1898091.4722179</v>
      </c>
      <c r="G86" s="353">
        <v>4.6326417736845303E-3</v>
      </c>
      <c r="H86" s="353">
        <v>4.1694694839614519E-3</v>
      </c>
      <c r="I86" s="353">
        <v>-4.631722897230784E-4</v>
      </c>
    </row>
    <row r="88" spans="2:12" x14ac:dyDescent="0.45">
      <c r="B88" s="337" t="s">
        <v>970</v>
      </c>
    </row>
    <row r="89" spans="2:12" x14ac:dyDescent="0.45">
      <c r="B89" s="30" t="s">
        <v>54</v>
      </c>
      <c r="C89" s="30" t="s">
        <v>961</v>
      </c>
      <c r="D89" s="30" t="s">
        <v>962</v>
      </c>
      <c r="E89" s="30" t="s">
        <v>963</v>
      </c>
      <c r="F89" s="30" t="s">
        <v>964</v>
      </c>
      <c r="G89" s="334" t="s">
        <v>930</v>
      </c>
      <c r="H89" s="334" t="s">
        <v>931</v>
      </c>
      <c r="I89" s="334" t="s">
        <v>932</v>
      </c>
      <c r="K89" s="358" t="s">
        <v>986</v>
      </c>
      <c r="L89" s="359">
        <f>AVERAGE(I90:I99)</f>
        <v>8.5806418416949533E-3</v>
      </c>
    </row>
    <row r="90" spans="2:12" x14ac:dyDescent="0.45">
      <c r="B90" s="293" t="s">
        <v>127</v>
      </c>
      <c r="C90" s="311">
        <f>INDEX(Pharma!$A$1:$T$76,MATCH(B90,Pharma!$A$1:$A$76,0),7)</f>
        <v>53668.579307139997</v>
      </c>
      <c r="D90" s="311">
        <f>INDEX(Pharma!$A$1:$T$76,MATCH(B90,Pharma!$A$1:$A$76,0),8)</f>
        <v>96436.395466749993</v>
      </c>
      <c r="E90" s="311">
        <f>INDEX(Pharma!$A$1:$T$76,MATCH(B90,Pharma!$A$1:$A$76,0),15)</f>
        <v>308812.05776281998</v>
      </c>
      <c r="F90" s="311">
        <f>INDEX(Pharma!$A$1:$T$76,MATCH(B90,Pharma!$A$1:$A$76,0),16)</f>
        <v>483748.84960921999</v>
      </c>
      <c r="G90" s="347">
        <f>INDEX(Pharma!$A$1:$T$76,MATCH(B90,Pharma!$A$1:$A$76,0),17)</f>
        <v>0.17379042675969478</v>
      </c>
      <c r="H90" s="347">
        <f>INDEX(Pharma!$A$1:$T$76,MATCH(B90,Pharma!$A$1:$A$76,0),18)</f>
        <v>0.19935219596832704</v>
      </c>
      <c r="I90" s="347">
        <f>INDEX(Pharma!$A$1:$T$76,MATCH(B90,Pharma!$A$1:$A$76,0),19)</f>
        <v>2.5561769208632262E-2</v>
      </c>
      <c r="K90" s="358" t="s">
        <v>995</v>
      </c>
      <c r="L90" s="359">
        <f>H100+L89</f>
        <v>1.2961929829977594E-2</v>
      </c>
    </row>
    <row r="91" spans="2:12" x14ac:dyDescent="0.45">
      <c r="B91" s="293" t="s">
        <v>67</v>
      </c>
      <c r="C91" s="311">
        <f>INDEX(Pharma!$A$1:$T$76,MATCH(B91,Pharma!$A$1:$A$76,0),7)</f>
        <v>22573.808900870001</v>
      </c>
      <c r="D91" s="311">
        <f>INDEX(Pharma!$A$1:$T$76,MATCH(B91,Pharma!$A$1:$A$76,0),8)</f>
        <v>41579.123975199996</v>
      </c>
      <c r="E91" s="311">
        <f>INDEX(Pharma!$A$1:$T$76,MATCH(B91,Pharma!$A$1:$A$76,0),15)</f>
        <v>669989.49931316997</v>
      </c>
      <c r="F91" s="311">
        <f>INDEX(Pharma!$A$1:$T$76,MATCH(B91,Pharma!$A$1:$A$76,0),16)</f>
        <v>743458.79269773001</v>
      </c>
      <c r="G91" s="347">
        <f>INDEX(Pharma!$A$1:$T$76,MATCH(B91,Pharma!$A$1:$A$76,0),17)</f>
        <v>3.3692780146571275E-2</v>
      </c>
      <c r="H91" s="347">
        <f>INDEX(Pharma!$A$1:$T$76,MATCH(B91,Pharma!$A$1:$A$76,0),18)</f>
        <v>5.5926601963136549E-2</v>
      </c>
      <c r="I91" s="347">
        <f>INDEX(Pharma!$A$1:$T$76,MATCH(B91,Pharma!$A$1:$A$76,0),19)</f>
        <v>2.2233821816565275E-2</v>
      </c>
      <c r="K91" s="358" t="s">
        <v>996</v>
      </c>
      <c r="L91" s="363">
        <f>D100</f>
        <v>8316.0853678900003</v>
      </c>
    </row>
    <row r="92" spans="2:12" x14ac:dyDescent="0.45">
      <c r="B92" s="293" t="s">
        <v>118</v>
      </c>
      <c r="C92" s="311">
        <f>INDEX(Pharma!$A$1:$T$76,MATCH(B92,Pharma!$A$1:$A$76,0),7)</f>
        <v>7330.0055890599997</v>
      </c>
      <c r="D92" s="311">
        <f>INDEX(Pharma!$A$1:$T$76,MATCH(B92,Pharma!$A$1:$A$76,0),8)</f>
        <v>16945.699567780001</v>
      </c>
      <c r="E92" s="311">
        <f>INDEX(Pharma!$A$1:$T$76,MATCH(B92,Pharma!$A$1:$A$76,0),15)</f>
        <v>500331.50984029</v>
      </c>
      <c r="F92" s="311">
        <f>INDEX(Pharma!$A$1:$T$76,MATCH(B92,Pharma!$A$1:$A$76,0),16)</f>
        <v>542439.84157398995</v>
      </c>
      <c r="G92" s="347">
        <f>INDEX(Pharma!$A$1:$T$76,MATCH(B92,Pharma!$A$1:$A$76,0),17)</f>
        <v>1.4650297742390437E-2</v>
      </c>
      <c r="H92" s="347">
        <f>INDEX(Pharma!$A$1:$T$76,MATCH(B92,Pharma!$A$1:$A$76,0),18)</f>
        <v>3.1239776780792698E-2</v>
      </c>
      <c r="I92" s="347">
        <f>INDEX(Pharma!$A$1:$T$76,MATCH(B92,Pharma!$A$1:$A$76,0),19)</f>
        <v>1.6589479038402261E-2</v>
      </c>
      <c r="K92" s="358" t="s">
        <v>993</v>
      </c>
      <c r="L92" s="363">
        <f>L90*$L$3</f>
        <v>31919.438151646427</v>
      </c>
    </row>
    <row r="93" spans="2:12" x14ac:dyDescent="0.45">
      <c r="B93" s="293" t="s">
        <v>116</v>
      </c>
      <c r="C93" s="311">
        <f>INDEX(Pharma!$A$1:$T$76,MATCH(B93,Pharma!$A$1:$A$76,0),7)</f>
        <v>9151.8632171000008</v>
      </c>
      <c r="D93" s="311">
        <f>INDEX(Pharma!$A$1:$T$76,MATCH(B93,Pharma!$A$1:$A$76,0),8)</f>
        <v>13912.6833924</v>
      </c>
      <c r="E93" s="311">
        <f>INDEX(Pharma!$A$1:$T$76,MATCH(B93,Pharma!$A$1:$A$76,0),15)</f>
        <v>315318.76572541997</v>
      </c>
      <c r="F93" s="311">
        <f>INDEX(Pharma!$A$1:$T$76,MATCH(B93,Pharma!$A$1:$A$76,0),16)</f>
        <v>361238.79673869</v>
      </c>
      <c r="G93" s="347">
        <f>INDEX(Pharma!$A$1:$T$76,MATCH(B93,Pharma!$A$1:$A$76,0),17)</f>
        <v>2.9024162884962755E-2</v>
      </c>
      <c r="H93" s="347">
        <f>INDEX(Pharma!$A$1:$T$76,MATCH(B93,Pharma!$A$1:$A$76,0),18)</f>
        <v>3.8513812796425753E-2</v>
      </c>
      <c r="I93" s="347">
        <f>INDEX(Pharma!$A$1:$T$76,MATCH(B93,Pharma!$A$1:$A$76,0),19)</f>
        <v>9.4896499114629981E-3</v>
      </c>
      <c r="K93" s="358" t="s">
        <v>39</v>
      </c>
      <c r="L93" s="359">
        <f>(L92/L91)^(1/9)-1</f>
        <v>0.16119199506367798</v>
      </c>
    </row>
    <row r="94" spans="2:12" x14ac:dyDescent="0.45">
      <c r="B94" s="293" t="s">
        <v>121</v>
      </c>
      <c r="C94" s="311">
        <f>INDEX(Pharma!$A$1:$T$76,MATCH(B94,Pharma!$A$1:$A$76,0),7)</f>
        <v>3444.02662887</v>
      </c>
      <c r="D94" s="311">
        <f>INDEX(Pharma!$A$1:$T$76,MATCH(B94,Pharma!$A$1:$A$76,0),8)</f>
        <v>5769.8490217299995</v>
      </c>
      <c r="E94" s="311">
        <f>INDEX(Pharma!$A$1:$T$76,MATCH(B94,Pharma!$A$1:$A$76,0),15)</f>
        <v>331298.98374970001</v>
      </c>
      <c r="F94" s="311">
        <f>INDEX(Pharma!$A$1:$T$76,MATCH(B94,Pharma!$A$1:$A$76,0),16)</f>
        <v>394237.177708</v>
      </c>
      <c r="G94" s="347">
        <f>INDEX(Pharma!$A$1:$T$76,MATCH(B94,Pharma!$A$1:$A$76,0),17)</f>
        <v>1.0395524278070226E-2</v>
      </c>
      <c r="H94" s="347">
        <f>INDEX(Pharma!$A$1:$T$76,MATCH(B94,Pharma!$A$1:$A$76,0),18)</f>
        <v>1.4635476682525256E-2</v>
      </c>
      <c r="I94" s="347">
        <f>INDEX(Pharma!$A$1:$T$76,MATCH(B94,Pharma!$A$1:$A$76,0),19)</f>
        <v>4.2399524044550302E-3</v>
      </c>
    </row>
    <row r="95" spans="2:12" x14ac:dyDescent="0.45">
      <c r="B95" s="293" t="s">
        <v>907</v>
      </c>
      <c r="C95" s="311">
        <f>INDEX(Pharma!$A$1:$T$76,MATCH(B95,Pharma!$A$1:$A$76,0),7)</f>
        <v>101110.03400001999</v>
      </c>
      <c r="D95" s="311">
        <f>INDEX(Pharma!$A$1:$T$76,MATCH(B95,Pharma!$A$1:$A$76,0),8)</f>
        <v>188526.87714595001</v>
      </c>
      <c r="E95" s="311">
        <f>INDEX(Pharma!$A$1:$T$76,MATCH(B95,Pharma!$A$1:$A$76,0),15)</f>
        <v>11048064.947659001</v>
      </c>
      <c r="F95" s="311">
        <f>INDEX(Pharma!$A$1:$T$76,MATCH(B95,Pharma!$A$1:$A$76,0),16)</f>
        <v>15827750.501527</v>
      </c>
      <c r="G95" s="347">
        <f>INDEX(Pharma!$A$1:$T$76,MATCH(B95,Pharma!$A$1:$A$76,0),17)</f>
        <v>9.1518319704885897E-3</v>
      </c>
      <c r="H95" s="347">
        <f>INDEX(Pharma!$A$1:$T$76,MATCH(B95,Pharma!$A$1:$A$76,0),18)</f>
        <v>1.1911160535905697E-2</v>
      </c>
      <c r="I95" s="347">
        <f>INDEX(Pharma!$A$1:$T$76,MATCH(B95,Pharma!$A$1:$A$76,0),19)</f>
        <v>2.7593285654171074E-3</v>
      </c>
    </row>
    <row r="96" spans="2:12" x14ac:dyDescent="0.45">
      <c r="B96" s="293" t="s">
        <v>176</v>
      </c>
      <c r="C96" s="311">
        <f>INDEX(Pharma!$A$1:$T$76,MATCH(B96,Pharma!$A$1:$A$76,0),7)</f>
        <v>386.82539603999999</v>
      </c>
      <c r="D96" s="311">
        <f>INDEX(Pharma!$A$1:$T$76,MATCH(B96,Pharma!$A$1:$A$76,0),8)</f>
        <v>506.14136107000002</v>
      </c>
      <c r="E96" s="311">
        <f>INDEX(Pharma!$A$1:$T$76,MATCH(B96,Pharma!$A$1:$A$76,0),15)</f>
        <v>41181.394892199998</v>
      </c>
      <c r="F96" s="311">
        <f>INDEX(Pharma!$A$1:$T$76,MATCH(B96,Pharma!$A$1:$A$76,0),16)</f>
        <v>44841.419332370002</v>
      </c>
      <c r="G96" s="347">
        <f>INDEX(Pharma!$A$1:$T$76,MATCH(B96,Pharma!$A$1:$A$76,0),17)</f>
        <v>9.3932077107292695E-3</v>
      </c>
      <c r="H96" s="347">
        <f>INDEX(Pharma!$A$1:$T$76,MATCH(B96,Pharma!$A$1:$A$76,0),18)</f>
        <v>1.1287362634942915E-2</v>
      </c>
      <c r="I96" s="347">
        <f>INDEX(Pharma!$A$1:$T$76,MATCH(B96,Pharma!$A$1:$A$76,0),19)</f>
        <v>1.8941549242136452E-3</v>
      </c>
    </row>
    <row r="97" spans="2:12" x14ac:dyDescent="0.45">
      <c r="B97" s="293" t="s">
        <v>98</v>
      </c>
      <c r="C97" s="311">
        <f>INDEX(Pharma!$A$1:$T$76,MATCH(B97,Pharma!$A$1:$A$76,0),7)</f>
        <v>24582.63873386</v>
      </c>
      <c r="D97" s="311">
        <f>INDEX(Pharma!$A$1:$T$76,MATCH(B97,Pharma!$A$1:$A$76,0),8)</f>
        <v>31315.48094668</v>
      </c>
      <c r="E97" s="311">
        <f>INDEX(Pharma!$A$1:$T$76,MATCH(B97,Pharma!$A$1:$A$76,0),15)</f>
        <v>3626843.1759532001</v>
      </c>
      <c r="F97" s="311">
        <f>INDEX(Pharma!$A$1:$T$76,MATCH(B97,Pharma!$A$1:$A$76,0),16)</f>
        <v>3849084.4984781002</v>
      </c>
      <c r="G97" s="347">
        <f>INDEX(Pharma!$A$1:$T$76,MATCH(B97,Pharma!$A$1:$A$76,0),17)</f>
        <v>6.7779712386927884E-3</v>
      </c>
      <c r="H97" s="347">
        <f>INDEX(Pharma!$A$1:$T$76,MATCH(B97,Pharma!$A$1:$A$76,0),18)</f>
        <v>8.1358257941757089E-3</v>
      </c>
      <c r="I97" s="347">
        <f>INDEX(Pharma!$A$1:$T$76,MATCH(B97,Pharma!$A$1:$A$76,0),19)</f>
        <v>1.3578545554829204E-3</v>
      </c>
    </row>
    <row r="98" spans="2:12" x14ac:dyDescent="0.45">
      <c r="B98" s="293" t="s">
        <v>126</v>
      </c>
      <c r="C98" s="311">
        <f>INDEX(Pharma!$A$1:$T$76,MATCH(B98,Pharma!$A$1:$A$76,0),7)</f>
        <v>1553.8385642799999</v>
      </c>
      <c r="D98" s="311">
        <f>INDEX(Pharma!$A$1:$T$76,MATCH(B98,Pharma!$A$1:$A$76,0),8)</f>
        <v>1989.6219983999999</v>
      </c>
      <c r="E98" s="311">
        <f>INDEX(Pharma!$A$1:$T$76,MATCH(B98,Pharma!$A$1:$A$76,0),15)</f>
        <v>247207.29862345001</v>
      </c>
      <c r="F98" s="311">
        <f>INDEX(Pharma!$A$1:$T$76,MATCH(B98,Pharma!$A$1:$A$76,0),16)</f>
        <v>270499.52733732999</v>
      </c>
      <c r="G98" s="347">
        <f>INDEX(Pharma!$A$1:$T$76,MATCH(B98,Pharma!$A$1:$A$76,0),17)</f>
        <v>6.2855691273372592E-3</v>
      </c>
      <c r="H98" s="347">
        <f>INDEX(Pharma!$A$1:$T$76,MATCH(B98,Pharma!$A$1:$A$76,0),18)</f>
        <v>7.3553621996493021E-3</v>
      </c>
      <c r="I98" s="347">
        <f>INDEX(Pharma!$A$1:$T$76,MATCH(B98,Pharma!$A$1:$A$76,0),19)</f>
        <v>1.0697930723120429E-3</v>
      </c>
    </row>
    <row r="99" spans="2:12" x14ac:dyDescent="0.45">
      <c r="B99" s="293" t="s">
        <v>154</v>
      </c>
      <c r="C99" s="311">
        <f>INDEX(Pharma!$A$1:$T$76,MATCH(B99,Pharma!$A$1:$A$76,0),7)</f>
        <v>1683.04546392</v>
      </c>
      <c r="D99" s="311">
        <f>INDEX(Pharma!$A$1:$T$76,MATCH(B99,Pharma!$A$1:$A$76,0),8)</f>
        <v>2309.16738295</v>
      </c>
      <c r="E99" s="311">
        <f>INDEX(Pharma!$A$1:$T$76,MATCH(B99,Pharma!$A$1:$A$76,0),15)</f>
        <v>243681.57424943999</v>
      </c>
      <c r="F99" s="311">
        <f>INDEX(Pharma!$A$1:$T$76,MATCH(B99,Pharma!$A$1:$A$76,0),16)</f>
        <v>307178.14587732003</v>
      </c>
      <c r="G99" s="347">
        <f>INDEX(Pharma!$A$1:$T$76,MATCH(B99,Pharma!$A$1:$A$76,0),17)</f>
        <v>6.9067407706303744E-3</v>
      </c>
      <c r="H99" s="347">
        <f>INDEX(Pharma!$A$1:$T$76,MATCH(B99,Pharma!$A$1:$A$76,0),18)</f>
        <v>7.5173556906363674E-3</v>
      </c>
      <c r="I99" s="347">
        <f>INDEX(Pharma!$A$1:$T$76,MATCH(B99,Pharma!$A$1:$A$76,0),19)</f>
        <v>6.1061492000599304E-4</v>
      </c>
    </row>
    <row r="100" spans="2:12" x14ac:dyDescent="0.45">
      <c r="B100" s="294" t="s">
        <v>18</v>
      </c>
      <c r="C100" s="313">
        <v>8836.8574560199995</v>
      </c>
      <c r="D100" s="313">
        <v>8316.0853678900003</v>
      </c>
      <c r="E100" s="313">
        <v>1855726.8356911</v>
      </c>
      <c r="F100" s="313">
        <v>1898091.4722179</v>
      </c>
      <c r="G100" s="352">
        <v>4.7619387110544335E-3</v>
      </c>
      <c r="H100" s="352">
        <v>4.3812879882826417E-3</v>
      </c>
      <c r="I100" s="353">
        <v>-3.8065072277179181E-4</v>
      </c>
    </row>
    <row r="102" spans="2:12" x14ac:dyDescent="0.45">
      <c r="B102" s="337" t="s">
        <v>971</v>
      </c>
    </row>
    <row r="103" spans="2:12" x14ac:dyDescent="0.45">
      <c r="B103" s="30" t="s">
        <v>54</v>
      </c>
      <c r="C103" s="30" t="s">
        <v>961</v>
      </c>
      <c r="D103" s="30" t="s">
        <v>962</v>
      </c>
      <c r="E103" s="30" t="s">
        <v>963</v>
      </c>
      <c r="F103" s="30" t="s">
        <v>964</v>
      </c>
      <c r="G103" s="334" t="s">
        <v>930</v>
      </c>
      <c r="H103" s="334" t="s">
        <v>931</v>
      </c>
      <c r="I103" s="334" t="s">
        <v>932</v>
      </c>
      <c r="K103" s="358" t="s">
        <v>986</v>
      </c>
      <c r="L103" s="359">
        <f>AVERAGE(I104:I113)</f>
        <v>4.4977486499228776E-4</v>
      </c>
    </row>
    <row r="104" spans="2:12" x14ac:dyDescent="0.45">
      <c r="B104" s="293" t="s">
        <v>168</v>
      </c>
      <c r="C104" s="311">
        <f>INDEX('Other transport'!$A$1:$T$76,MATCH(B104,'Other transport'!$A$1:$A$76,0),7)</f>
        <v>697.60504298000001</v>
      </c>
      <c r="D104" s="311">
        <f>INDEX('Other transport'!$A$1:$T$76,MATCH(B104,'Other transport'!$A$1:$A$76,0),8)</f>
        <v>794.22978403000002</v>
      </c>
      <c r="E104" s="311">
        <f>INDEX('Other transport'!$A$1:$T$76,MATCH(B104,'Other transport'!$A$1:$A$76,0),15)</f>
        <v>38884.65391288</v>
      </c>
      <c r="F104" s="311">
        <f>INDEX('Other transport'!$A$1:$T$76,MATCH(B104,'Other transport'!$A$1:$A$76,0),16)</f>
        <v>40072.692608359997</v>
      </c>
      <c r="G104" s="347">
        <f>INDEX('Other transport'!$A$1:$T$76,MATCH(B104,'Other transport'!$A$1:$A$76,0),17)</f>
        <v>1.7940369086040086E-2</v>
      </c>
      <c r="H104" s="347">
        <f>INDEX('Other transport'!$A$1:$T$76,MATCH(B104,'Other transport'!$A$1:$A$76,0),18)</f>
        <v>1.981972591141298E-2</v>
      </c>
      <c r="I104" s="347">
        <f>INDEX('Other transport'!$A$1:$T$76,MATCH(B104,'Other transport'!$A$1:$A$76,0),19)</f>
        <v>1.8793568253728937E-3</v>
      </c>
      <c r="K104" s="358" t="s">
        <v>995</v>
      </c>
      <c r="L104" s="359">
        <f>H114+L103</f>
        <v>2.4705472164575884E-3</v>
      </c>
    </row>
    <row r="105" spans="2:12" x14ac:dyDescent="0.45">
      <c r="B105" s="293" t="s">
        <v>76</v>
      </c>
      <c r="C105" s="311">
        <f>INDEX('Other transport'!$A$1:$T$76,MATCH(B105,'Other transport'!$A$1:$A$76,0),7)</f>
        <v>11233.76345778</v>
      </c>
      <c r="D105" s="311">
        <f>INDEX('Other transport'!$A$1:$T$76,MATCH(B105,'Other transport'!$A$1:$A$76,0),8)</f>
        <v>15841.80885908</v>
      </c>
      <c r="E105" s="311">
        <f>INDEX('Other transport'!$A$1:$T$76,MATCH(B105,'Other transport'!$A$1:$A$76,0),15)</f>
        <v>2643868.3114987002</v>
      </c>
      <c r="F105" s="311">
        <f>INDEX('Other transport'!$A$1:$T$76,MATCH(B105,'Other transport'!$A$1:$A$76,0),16)</f>
        <v>2777419.6130784</v>
      </c>
      <c r="G105" s="347">
        <f>INDEX('Other transport'!$A$1:$T$76,MATCH(B105,'Other transport'!$A$1:$A$76,0),17)</f>
        <v>4.2489875191295146E-3</v>
      </c>
      <c r="H105" s="347">
        <f>INDEX('Other transport'!$A$1:$T$76,MATCH(B105,'Other transport'!$A$1:$A$76,0),18)</f>
        <v>5.7037866314775037E-3</v>
      </c>
      <c r="I105" s="347">
        <f>INDEX('Other transport'!$A$1:$T$76,MATCH(B105,'Other transport'!$A$1:$A$76,0),19)</f>
        <v>1.4547991123479891E-3</v>
      </c>
      <c r="K105" s="358" t="s">
        <v>994</v>
      </c>
      <c r="L105" s="363">
        <f>D114</f>
        <v>3835.61076761</v>
      </c>
    </row>
    <row r="106" spans="2:12" x14ac:dyDescent="0.45">
      <c r="B106" s="293" t="s">
        <v>124</v>
      </c>
      <c r="C106" s="311">
        <f>INDEX('Other transport'!$A$1:$T$76,MATCH(B106,'Other transport'!$A$1:$A$76,0),7)</f>
        <v>1165.15567119</v>
      </c>
      <c r="D106" s="311">
        <f>INDEX('Other transport'!$A$1:$T$76,MATCH(B106,'Other transport'!$A$1:$A$76,0),8)</f>
        <v>2150.2559152099998</v>
      </c>
      <c r="E106" s="311">
        <f>INDEX('Other transport'!$A$1:$T$76,MATCH(B106,'Other transport'!$A$1:$A$76,0),15)</f>
        <v>264392.25455249997</v>
      </c>
      <c r="F106" s="311">
        <f>INDEX('Other transport'!$A$1:$T$76,MATCH(B106,'Other transport'!$A$1:$A$76,0),16)</f>
        <v>386628.84638325998</v>
      </c>
      <c r="G106" s="347">
        <f>INDEX('Other transport'!$A$1:$T$76,MATCH(B106,'Other transport'!$A$1:$A$76,0),17)</f>
        <v>4.4069205928974628E-3</v>
      </c>
      <c r="H106" s="347">
        <f>INDEX('Other transport'!$A$1:$T$76,MATCH(B106,'Other transport'!$A$1:$A$76,0),18)</f>
        <v>5.5615506585312575E-3</v>
      </c>
      <c r="I106" s="347">
        <f>INDEX('Other transport'!$A$1:$T$76,MATCH(B106,'Other transport'!$A$1:$A$76,0),19)</f>
        <v>1.1546300656337946E-3</v>
      </c>
      <c r="K106" s="358" t="s">
        <v>993</v>
      </c>
      <c r="L106" s="363">
        <f>L104*$L$3</f>
        <v>6083.8532618855061</v>
      </c>
    </row>
    <row r="107" spans="2:12" x14ac:dyDescent="0.45">
      <c r="B107" s="293" t="s">
        <v>101</v>
      </c>
      <c r="C107" s="311">
        <f>INDEX('Other transport'!$A$1:$T$76,MATCH(B107,'Other transport'!$A$1:$A$76,0),7)</f>
        <v>7528.6302514500003</v>
      </c>
      <c r="D107" s="311">
        <f>INDEX('Other transport'!$A$1:$T$76,MATCH(B107,'Other transport'!$A$1:$A$76,0),8)</f>
        <v>8500.4642810000005</v>
      </c>
      <c r="E107" s="311">
        <f>INDEX('Other transport'!$A$1:$T$76,MATCH(B107,'Other transport'!$A$1:$A$76,0),15)</f>
        <v>1924364.2462229</v>
      </c>
      <c r="F107" s="311">
        <f>INDEX('Other transport'!$A$1:$T$76,MATCH(B107,'Other transport'!$A$1:$A$76,0),16)</f>
        <v>1980878.3634254001</v>
      </c>
      <c r="G107" s="347">
        <f>INDEX('Other transport'!$A$1:$T$76,MATCH(B107,'Other transport'!$A$1:$A$76,0),17)</f>
        <v>3.9122688265628668E-3</v>
      </c>
      <c r="H107" s="347">
        <f>INDEX('Other transport'!$A$1:$T$76,MATCH(B107,'Other transport'!$A$1:$A$76,0),18)</f>
        <v>4.2912600985255435E-3</v>
      </c>
      <c r="I107" s="347">
        <f>INDEX('Other transport'!$A$1:$T$76,MATCH(B107,'Other transport'!$A$1:$A$76,0),19)</f>
        <v>3.7899127196267673E-4</v>
      </c>
      <c r="K107" s="358" t="s">
        <v>39</v>
      </c>
      <c r="L107" s="359">
        <f>(L106/L105)^(1/9)-1</f>
        <v>5.2592974082459554E-2</v>
      </c>
    </row>
    <row r="108" spans="2:12" x14ac:dyDescent="0.45">
      <c r="B108" s="293" t="s">
        <v>73</v>
      </c>
      <c r="C108" s="311">
        <f>INDEX('Other transport'!$A$1:$T$76,MATCH(B108,'Other transport'!$A$1:$A$76,0),7)</f>
        <v>3220.66858017</v>
      </c>
      <c r="D108" s="311">
        <f>INDEX('Other transport'!$A$1:$T$76,MATCH(B108,'Other transport'!$A$1:$A$76,0),8)</f>
        <v>4065.3291949200002</v>
      </c>
      <c r="E108" s="311">
        <f>INDEX('Other transport'!$A$1:$T$76,MATCH(B108,'Other transport'!$A$1:$A$76,0),15)</f>
        <v>546880.06131035998</v>
      </c>
      <c r="F108" s="311">
        <f>INDEX('Other transport'!$A$1:$T$76,MATCH(B108,'Other transport'!$A$1:$A$76,0),16)</f>
        <v>674049.24440882006</v>
      </c>
      <c r="G108" s="347">
        <f>INDEX('Other transport'!$A$1:$T$76,MATCH(B108,'Other transport'!$A$1:$A$76,0),17)</f>
        <v>5.8891680425376455E-3</v>
      </c>
      <c r="H108" s="347">
        <f>INDEX('Other transport'!$A$1:$T$76,MATCH(B108,'Other transport'!$A$1:$A$76,0),18)</f>
        <v>6.0312050323348817E-3</v>
      </c>
      <c r="I108" s="347">
        <f>INDEX('Other transport'!$A$1:$T$76,MATCH(B108,'Other transport'!$A$1:$A$76,0),19)</f>
        <v>1.4203698979723626E-4</v>
      </c>
    </row>
    <row r="109" spans="2:12" x14ac:dyDescent="0.45">
      <c r="B109" s="293" t="s">
        <v>112</v>
      </c>
      <c r="C109" s="311">
        <f>INDEX('Other transport'!$A$1:$T$76,MATCH(B109,'Other transport'!$A$1:$A$76,0),7)</f>
        <v>1741.82651119</v>
      </c>
      <c r="D109" s="311">
        <f>INDEX('Other transport'!$A$1:$T$76,MATCH(B109,'Other transport'!$A$1:$A$76,0),8)</f>
        <v>2203.7305487899998</v>
      </c>
      <c r="E109" s="311">
        <f>INDEX('Other transport'!$A$1:$T$76,MATCH(B109,'Other transport'!$A$1:$A$76,0),15)</f>
        <v>496555.53410177003</v>
      </c>
      <c r="F109" s="311">
        <f>INDEX('Other transport'!$A$1:$T$76,MATCH(B109,'Other transport'!$A$1:$A$76,0),16)</f>
        <v>623108.57565016998</v>
      </c>
      <c r="G109" s="347">
        <f>INDEX('Other transport'!$A$1:$T$76,MATCH(B109,'Other transport'!$A$1:$A$76,0),17)</f>
        <v>3.5078181423168053E-3</v>
      </c>
      <c r="H109" s="347">
        <f>INDEX('Other transport'!$A$1:$T$76,MATCH(B109,'Other transport'!$A$1:$A$76,0),18)</f>
        <v>3.5366718336215515E-3</v>
      </c>
      <c r="I109" s="347">
        <f>INDEX('Other transport'!$A$1:$T$76,MATCH(B109,'Other transport'!$A$1:$A$76,0),19)</f>
        <v>2.8853691304746212E-5</v>
      </c>
    </row>
    <row r="110" spans="2:12" x14ac:dyDescent="0.45">
      <c r="B110" s="293" t="s">
        <v>111</v>
      </c>
      <c r="C110" s="311">
        <f>INDEX('Other transport'!$A$1:$T$76,MATCH(B110,'Other transport'!$A$1:$A$76,0),7)</f>
        <v>1130.5023361799999</v>
      </c>
      <c r="D110" s="311">
        <f>INDEX('Other transport'!$A$1:$T$76,MATCH(B110,'Other transport'!$A$1:$A$76,0),8)</f>
        <v>1264.9185333299999</v>
      </c>
      <c r="E110" s="311">
        <f>INDEX('Other transport'!$A$1:$T$76,MATCH(B110,'Other transport'!$A$1:$A$76,0),15)</f>
        <v>220291.04889604999</v>
      </c>
      <c r="F110" s="311">
        <f>INDEX('Other transport'!$A$1:$T$76,MATCH(B110,'Other transport'!$A$1:$A$76,0),16)</f>
        <v>247058.51905223</v>
      </c>
      <c r="G110" s="347">
        <f>INDEX('Other transport'!$A$1:$T$76,MATCH(B110,'Other transport'!$A$1:$A$76,0),17)</f>
        <v>5.1318577937928683E-3</v>
      </c>
      <c r="H110" s="347">
        <f>INDEX('Other transport'!$A$1:$T$76,MATCH(B110,'Other transport'!$A$1:$A$76,0),18)</f>
        <v>5.1199146590148016E-3</v>
      </c>
      <c r="I110" s="347">
        <f>INDEX('Other transport'!$A$1:$T$76,MATCH(B110,'Other transport'!$A$1:$A$76,0),19)</f>
        <v>-1.1943134778066682E-5</v>
      </c>
    </row>
    <row r="111" spans="2:12" x14ac:dyDescent="0.45">
      <c r="B111" s="293" t="s">
        <v>98</v>
      </c>
      <c r="C111" s="311">
        <f>INDEX('Other transport'!$A$1:$T$76,MATCH(B111,'Other transport'!$A$1:$A$76,0),7)</f>
        <v>15991.771921060001</v>
      </c>
      <c r="D111" s="311">
        <f>INDEX('Other transport'!$A$1:$T$76,MATCH(B111,'Other transport'!$A$1:$A$76,0),8)</f>
        <v>16807.409939950001</v>
      </c>
      <c r="E111" s="311">
        <f>INDEX('Other transport'!$A$1:$T$76,MATCH(B111,'Other transport'!$A$1:$A$76,0),15)</f>
        <v>3626843.1759532001</v>
      </c>
      <c r="F111" s="311">
        <f>INDEX('Other transport'!$A$1:$T$76,MATCH(B111,'Other transport'!$A$1:$A$76,0),16)</f>
        <v>3849084.4984781002</v>
      </c>
      <c r="G111" s="347">
        <f>INDEX('Other transport'!$A$1:$T$76,MATCH(B111,'Other transport'!$A$1:$A$76,0),17)</f>
        <v>4.4092813350985523E-3</v>
      </c>
      <c r="H111" s="347">
        <f>INDEX('Other transport'!$A$1:$T$76,MATCH(B111,'Other transport'!$A$1:$A$76,0),18)</f>
        <v>4.3665993683941022E-3</v>
      </c>
      <c r="I111" s="347">
        <f>INDEX('Other transport'!$A$1:$T$76,MATCH(B111,'Other transport'!$A$1:$A$76,0),19)</f>
        <v>-4.2681966704450139E-5</v>
      </c>
    </row>
    <row r="112" spans="2:12" x14ac:dyDescent="0.45">
      <c r="B112" s="293" t="s">
        <v>123</v>
      </c>
      <c r="C112" s="311">
        <f>INDEX('Other transport'!$A$1:$T$76,MATCH(B112,'Other transport'!$A$1:$A$76,0),7)</f>
        <v>1441.6044825399999</v>
      </c>
      <c r="D112" s="311">
        <f>INDEX('Other transport'!$A$1:$T$76,MATCH(B112,'Other transport'!$A$1:$A$76,0),8)</f>
        <v>1755.56013418</v>
      </c>
      <c r="E112" s="311">
        <f>INDEX('Other transport'!$A$1:$T$76,MATCH(B112,'Other transport'!$A$1:$A$76,0),15)</f>
        <v>339252.33917334001</v>
      </c>
      <c r="F112" s="311">
        <f>INDEX('Other transport'!$A$1:$T$76,MATCH(B112,'Other transport'!$A$1:$A$76,0),16)</f>
        <v>430314.68651226</v>
      </c>
      <c r="G112" s="347">
        <f>INDEX('Other transport'!$A$1:$T$76,MATCH(B112,'Other transport'!$A$1:$A$76,0),17)</f>
        <v>4.249357531484599E-3</v>
      </c>
      <c r="H112" s="347">
        <f>INDEX('Other transport'!$A$1:$T$76,MATCH(B112,'Other transport'!$A$1:$A$76,0),18)</f>
        <v>4.0797123342662918E-3</v>
      </c>
      <c r="I112" s="347">
        <f>INDEX('Other transport'!$A$1:$T$76,MATCH(B112,'Other transport'!$A$1:$A$76,0),19)</f>
        <v>-1.6964519721830718E-4</v>
      </c>
    </row>
    <row r="113" spans="2:12" x14ac:dyDescent="0.45">
      <c r="B113" s="293" t="s">
        <v>907</v>
      </c>
      <c r="C113" s="311">
        <f>INDEX('Other transport'!$A$1:$T$76,MATCH(B113,'Other transport'!$A$1:$A$76,0),7)</f>
        <v>69909.998790740006</v>
      </c>
      <c r="D113" s="311">
        <f>INDEX('Other transport'!$A$1:$T$76,MATCH(B113,'Other transport'!$A$1:$A$76,0),8)</f>
        <v>95143.074655279997</v>
      </c>
      <c r="E113" s="311">
        <f>INDEX('Other transport'!$A$1:$T$76,MATCH(B113,'Other transport'!$A$1:$A$76,0),15)</f>
        <v>11048064.947659001</v>
      </c>
      <c r="F113" s="311">
        <f>INDEX('Other transport'!$A$1:$T$76,MATCH(B113,'Other transport'!$A$1:$A$76,0),16)</f>
        <v>15827750.501527</v>
      </c>
      <c r="G113" s="347">
        <f>INDEX('Other transport'!$A$1:$T$76,MATCH(B113,'Other transport'!$A$1:$A$76,0),17)</f>
        <v>6.3278048347781835E-3</v>
      </c>
      <c r="H113" s="347">
        <f>INDEX('Other transport'!$A$1:$T$76,MATCH(B113,'Other transport'!$A$1:$A$76,0),18)</f>
        <v>6.0111558269825491E-3</v>
      </c>
      <c r="I113" s="347">
        <f>INDEX('Other transport'!$A$1:$T$76,MATCH(B113,'Other transport'!$A$1:$A$76,0),19)</f>
        <v>-3.1664900779563437E-4</v>
      </c>
    </row>
    <row r="114" spans="2:12" x14ac:dyDescent="0.45">
      <c r="B114" s="294" t="s">
        <v>18</v>
      </c>
      <c r="C114" s="313">
        <v>5788.2895820399999</v>
      </c>
      <c r="D114" s="313">
        <v>3835.61076761</v>
      </c>
      <c r="E114" s="313">
        <v>1855726.8356911</v>
      </c>
      <c r="F114" s="313">
        <v>1898091.4722179</v>
      </c>
      <c r="G114" s="352">
        <v>3.1191495810235217E-3</v>
      </c>
      <c r="H114" s="352">
        <v>2.0207723514653005E-3</v>
      </c>
      <c r="I114" s="353">
        <v>-1.0983772295582212E-3</v>
      </c>
    </row>
    <row r="116" spans="2:12" x14ac:dyDescent="0.45">
      <c r="B116" s="337" t="s">
        <v>972</v>
      </c>
    </row>
    <row r="117" spans="2:12" x14ac:dyDescent="0.45">
      <c r="B117" s="30" t="s">
        <v>54</v>
      </c>
      <c r="C117" s="30" t="s">
        <v>961</v>
      </c>
      <c r="D117" s="30" t="s">
        <v>962</v>
      </c>
      <c r="E117" s="30" t="s">
        <v>963</v>
      </c>
      <c r="F117" s="30" t="s">
        <v>964</v>
      </c>
      <c r="G117" s="334" t="s">
        <v>930</v>
      </c>
      <c r="H117" s="334" t="s">
        <v>931</v>
      </c>
      <c r="I117" s="334" t="s">
        <v>932</v>
      </c>
      <c r="K117" s="358" t="s">
        <v>986</v>
      </c>
      <c r="L117" s="359">
        <f>AVERAGE(I118:I127)</f>
        <v>1.4699191361310229E-2</v>
      </c>
    </row>
    <row r="118" spans="2:12" x14ac:dyDescent="0.45">
      <c r="B118" s="293" t="s">
        <v>121</v>
      </c>
      <c r="C118" s="311">
        <f>INDEX(Eletronic!$A$1:$T$76,MATCH(B118,Eletronic!$A$1:$A$76,0),7)</f>
        <v>22693.922026889999</v>
      </c>
      <c r="D118" s="311">
        <f>INDEX(Eletronic!$A$1:$T$76,MATCH(B118,Eletronic!$A$1:$A$76,0),8)</f>
        <v>40455.800910240003</v>
      </c>
      <c r="E118" s="311">
        <f>INDEX(Eletronic!$A$1:$T$76,MATCH(B118,Eletronic!$A$1:$A$76,0),15)</f>
        <v>331298.98374970001</v>
      </c>
      <c r="F118" s="311">
        <f>INDEX(Eletronic!$A$1:$T$76,MATCH(B118,Eletronic!$A$1:$A$76,0),16)</f>
        <v>394237.177708</v>
      </c>
      <c r="G118" s="347">
        <f>INDEX(Eletronic!$A$1:$T$76,MATCH(B118,Eletronic!$A$1:$A$76,0),17)</f>
        <v>6.8499823845024246E-2</v>
      </c>
      <c r="H118" s="347">
        <f>INDEX(Eletronic!$A$1:$T$76,MATCH(B118,Eletronic!$A$1:$A$76,0),18)</f>
        <v>0.10261792443178568</v>
      </c>
      <c r="I118" s="347">
        <f>INDEX(Eletronic!$A$1:$T$76,MATCH(B118,Eletronic!$A$1:$A$76,0),19)</f>
        <v>3.411810058676143E-2</v>
      </c>
      <c r="K118" s="358" t="s">
        <v>995</v>
      </c>
      <c r="L118" s="359">
        <f>H128+L117</f>
        <v>1.8264556398650805E-2</v>
      </c>
    </row>
    <row r="119" spans="2:12" x14ac:dyDescent="0.45">
      <c r="B119" s="293" t="s">
        <v>73</v>
      </c>
      <c r="C119" s="311">
        <f>INDEX(Eletronic!$A$1:$T$76,MATCH(B119,Eletronic!$A$1:$A$76,0),7)</f>
        <v>71635.890548680007</v>
      </c>
      <c r="D119" s="311">
        <f>INDEX(Eletronic!$A$1:$T$76,MATCH(B119,Eletronic!$A$1:$A$76,0),8)</f>
        <v>109895.22561324001</v>
      </c>
      <c r="E119" s="311">
        <f>INDEX(Eletronic!$A$1:$T$76,MATCH(B119,Eletronic!$A$1:$A$76,0),15)</f>
        <v>546880.06131035998</v>
      </c>
      <c r="F119" s="311">
        <f>INDEX(Eletronic!$A$1:$T$76,MATCH(B119,Eletronic!$A$1:$A$76,0),16)</f>
        <v>674049.24440882006</v>
      </c>
      <c r="G119" s="347">
        <f>INDEX(Eletronic!$A$1:$T$76,MATCH(B119,Eletronic!$A$1:$A$76,0),17)</f>
        <v>0.13099013040818452</v>
      </c>
      <c r="H119" s="347">
        <f>INDEX(Eletronic!$A$1:$T$76,MATCH(B119,Eletronic!$A$1:$A$76,0),18)</f>
        <v>0.16303738417454119</v>
      </c>
      <c r="I119" s="347">
        <f>INDEX(Eletronic!$A$1:$T$76,MATCH(B119,Eletronic!$A$1:$A$76,0),19)</f>
        <v>3.204725376635667E-2</v>
      </c>
      <c r="K119" s="358" t="s">
        <v>994</v>
      </c>
      <c r="L119" s="363">
        <f>D128</f>
        <v>6767.3889727200003</v>
      </c>
    </row>
    <row r="120" spans="2:12" x14ac:dyDescent="0.45">
      <c r="B120" s="293" t="s">
        <v>104</v>
      </c>
      <c r="C120" s="311">
        <f>INDEX(Eletronic!$A$1:$T$76,MATCH(B120,Eletronic!$A$1:$A$76,0),7)</f>
        <v>87519.528005510001</v>
      </c>
      <c r="D120" s="311">
        <f>INDEX(Eletronic!$A$1:$T$76,MATCH(B120,Eletronic!$A$1:$A$76,0),8)</f>
        <v>149167.90220472999</v>
      </c>
      <c r="E120" s="311">
        <f>INDEX(Eletronic!$A$1:$T$76,MATCH(B120,Eletronic!$A$1:$A$76,0),15)</f>
        <v>1478297.0807395</v>
      </c>
      <c r="F120" s="311">
        <f>INDEX(Eletronic!$A$1:$T$76,MATCH(B120,Eletronic!$A$1:$A$76,0),16)</f>
        <v>1710728.7967964001</v>
      </c>
      <c r="G120" s="347">
        <f>INDEX(Eletronic!$A$1:$T$76,MATCH(B120,Eletronic!$A$1:$A$76,0),17)</f>
        <v>5.9202936369007392E-2</v>
      </c>
      <c r="H120" s="347">
        <f>INDEX(Eletronic!$A$1:$T$76,MATCH(B120,Eletronic!$A$1:$A$76,0),18)</f>
        <v>8.7195528878726766E-2</v>
      </c>
      <c r="I120" s="347">
        <f>INDEX(Eletronic!$A$1:$T$76,MATCH(B120,Eletronic!$A$1:$A$76,0),19)</f>
        <v>2.7992592509719375E-2</v>
      </c>
      <c r="K120" s="358" t="s">
        <v>993</v>
      </c>
      <c r="L120" s="363">
        <f>L118*$L$3</f>
        <v>44977.436692002222</v>
      </c>
    </row>
    <row r="121" spans="2:12" x14ac:dyDescent="0.45">
      <c r="B121" s="293" t="s">
        <v>122</v>
      </c>
      <c r="C121" s="311">
        <f>INDEX(Eletronic!$A$1:$T$76,MATCH(B121,Eletronic!$A$1:$A$76,0),7)</f>
        <v>12625.32486574</v>
      </c>
      <c r="D121" s="311">
        <f>INDEX(Eletronic!$A$1:$T$76,MATCH(B121,Eletronic!$A$1:$A$76,0),8)</f>
        <v>24297.927021840002</v>
      </c>
      <c r="E121" s="311">
        <f>INDEX(Eletronic!$A$1:$T$76,MATCH(B121,Eletronic!$A$1:$A$76,0),15)</f>
        <v>254018.52751081</v>
      </c>
      <c r="F121" s="311">
        <f>INDEX(Eletronic!$A$1:$T$76,MATCH(B121,Eletronic!$A$1:$A$76,0),16)</f>
        <v>352775.42056751001</v>
      </c>
      <c r="G121" s="347">
        <f>INDEX(Eletronic!$A$1:$T$76,MATCH(B121,Eletronic!$A$1:$A$76,0),17)</f>
        <v>4.9702377970058567E-2</v>
      </c>
      <c r="H121" s="347">
        <f>INDEX(Eletronic!$A$1:$T$76,MATCH(B121,Eletronic!$A$1:$A$76,0),18)</f>
        <v>6.8876473827887197E-2</v>
      </c>
      <c r="I121" s="347">
        <f>INDEX(Eletronic!$A$1:$T$76,MATCH(B121,Eletronic!$A$1:$A$76,0),19)</f>
        <v>1.917409585782863E-2</v>
      </c>
      <c r="K121" s="358" t="s">
        <v>39</v>
      </c>
      <c r="L121" s="359">
        <f>(L120/L119)^(1/9)-1</f>
        <v>0.23423273945647138</v>
      </c>
    </row>
    <row r="122" spans="2:12" x14ac:dyDescent="0.45">
      <c r="B122" s="293" t="s">
        <v>144</v>
      </c>
      <c r="C122" s="311">
        <f>INDEX(Eletronic!$A$1:$T$76,MATCH(B122,Eletronic!$A$1:$A$76,0),7)</f>
        <v>12159.88510946</v>
      </c>
      <c r="D122" s="311">
        <f>INDEX(Eletronic!$A$1:$T$76,MATCH(B122,Eletronic!$A$1:$A$76,0),8)</f>
        <v>18751.00847389</v>
      </c>
      <c r="E122" s="311">
        <f>INDEX(Eletronic!$A$1:$T$76,MATCH(B122,Eletronic!$A$1:$A$76,0),15)</f>
        <v>301830.41438700003</v>
      </c>
      <c r="F122" s="311">
        <f>INDEX(Eletronic!$A$1:$T$76,MATCH(B122,Eletronic!$A$1:$A$76,0),16)</f>
        <v>356559.39228144003</v>
      </c>
      <c r="G122" s="347">
        <f>INDEX(Eletronic!$A$1:$T$76,MATCH(B122,Eletronic!$A$1:$A$76,0),17)</f>
        <v>4.0287143143463579E-2</v>
      </c>
      <c r="H122" s="347">
        <f>INDEX(Eletronic!$A$1:$T$76,MATCH(B122,Eletronic!$A$1:$A$76,0),18)</f>
        <v>5.2588738032987851E-2</v>
      </c>
      <c r="I122" s="347">
        <f>INDEX(Eletronic!$A$1:$T$76,MATCH(B122,Eletronic!$A$1:$A$76,0),19)</f>
        <v>1.2301594889524273E-2</v>
      </c>
      <c r="L122" s="362"/>
    </row>
    <row r="123" spans="2:12" x14ac:dyDescent="0.45">
      <c r="B123" s="293" t="s">
        <v>907</v>
      </c>
      <c r="C123" s="311">
        <f>INDEX(Eletronic!$A$1:$T$76,MATCH(B123,Eletronic!$A$1:$A$76,0),7)</f>
        <v>223873.56843096999</v>
      </c>
      <c r="D123" s="311">
        <f>INDEX(Eletronic!$A$1:$T$76,MATCH(B123,Eletronic!$A$1:$A$76,0),8)</f>
        <v>427678.01541858999</v>
      </c>
      <c r="E123" s="311">
        <f>INDEX(Eletronic!$A$1:$T$76,MATCH(B123,Eletronic!$A$1:$A$76,0),15)</f>
        <v>11048064.947659001</v>
      </c>
      <c r="F123" s="311">
        <f>INDEX(Eletronic!$A$1:$T$76,MATCH(B123,Eletronic!$A$1:$A$76,0),16)</f>
        <v>15827750.501527</v>
      </c>
      <c r="G123" s="347">
        <f>INDEX(Eletronic!$A$1:$T$76,MATCH(B123,Eletronic!$A$1:$A$76,0),17)</f>
        <v>2.0263599959955619E-2</v>
      </c>
      <c r="H123" s="347">
        <f>INDEX(Eletronic!$A$1:$T$76,MATCH(B123,Eletronic!$A$1:$A$76,0),18)</f>
        <v>2.7020770600176523E-2</v>
      </c>
      <c r="I123" s="347">
        <f>INDEX(Eletronic!$A$1:$T$76,MATCH(B123,Eletronic!$A$1:$A$76,0),19)</f>
        <v>6.7571706402209039E-3</v>
      </c>
    </row>
    <row r="124" spans="2:12" x14ac:dyDescent="0.45">
      <c r="B124" s="293" t="s">
        <v>123</v>
      </c>
      <c r="C124" s="311">
        <f>INDEX(Eletronic!$A$1:$T$76,MATCH(B124,Eletronic!$A$1:$A$76,0),7)</f>
        <v>9240.64542239</v>
      </c>
      <c r="D124" s="311">
        <f>INDEX(Eletronic!$A$1:$T$76,MATCH(B124,Eletronic!$A$1:$A$76,0),8)</f>
        <v>14067.41161134</v>
      </c>
      <c r="E124" s="311">
        <f>INDEX(Eletronic!$A$1:$T$76,MATCH(B124,Eletronic!$A$1:$A$76,0),15)</f>
        <v>339252.33917334001</v>
      </c>
      <c r="F124" s="311">
        <f>INDEX(Eletronic!$A$1:$T$76,MATCH(B124,Eletronic!$A$1:$A$76,0),16)</f>
        <v>430314.68651226</v>
      </c>
      <c r="G124" s="347">
        <f>INDEX(Eletronic!$A$1:$T$76,MATCH(B124,Eletronic!$A$1:$A$76,0),17)</f>
        <v>2.7238265902327408E-2</v>
      </c>
      <c r="H124" s="347">
        <f>INDEX(Eletronic!$A$1:$T$76,MATCH(B124,Eletronic!$A$1:$A$76,0),18)</f>
        <v>3.269098650886787E-2</v>
      </c>
      <c r="I124" s="347">
        <f>INDEX(Eletronic!$A$1:$T$76,MATCH(B124,Eletronic!$A$1:$A$76,0),19)</f>
        <v>5.4527206065404614E-3</v>
      </c>
    </row>
    <row r="125" spans="2:12" x14ac:dyDescent="0.45">
      <c r="B125" s="293" t="s">
        <v>72</v>
      </c>
      <c r="C125" s="311">
        <f>INDEX(Eletronic!$A$1:$T$76,MATCH(B125,Eletronic!$A$1:$A$76,0),7)</f>
        <v>2924.1827802600001</v>
      </c>
      <c r="D125" s="311">
        <f>INDEX(Eletronic!$A$1:$T$76,MATCH(B125,Eletronic!$A$1:$A$76,0),8)</f>
        <v>4736.4755097400002</v>
      </c>
      <c r="E125" s="311">
        <f>INDEX(Eletronic!$A$1:$T$76,MATCH(B125,Eletronic!$A$1:$A$76,0),15)</f>
        <v>410010.85265116999</v>
      </c>
      <c r="F125" s="311">
        <f>INDEX(Eletronic!$A$1:$T$76,MATCH(B125,Eletronic!$A$1:$A$76,0),16)</f>
        <v>432694.04992214998</v>
      </c>
      <c r="G125" s="347">
        <f>INDEX(Eletronic!$A$1:$T$76,MATCH(B125,Eletronic!$A$1:$A$76,0),17)</f>
        <v>7.1319643403386767E-3</v>
      </c>
      <c r="H125" s="347">
        <f>INDEX(Eletronic!$A$1:$T$76,MATCH(B125,Eletronic!$A$1:$A$76,0),18)</f>
        <v>1.0946477102220804E-2</v>
      </c>
      <c r="I125" s="347">
        <f>INDEX(Eletronic!$A$1:$T$76,MATCH(B125,Eletronic!$A$1:$A$76,0),19)</f>
        <v>3.8145127618821276E-3</v>
      </c>
    </row>
    <row r="126" spans="2:12" x14ac:dyDescent="0.45">
      <c r="B126" s="293" t="s">
        <v>113</v>
      </c>
      <c r="C126" s="311">
        <f>INDEX(Eletronic!$A$1:$T$76,MATCH(B126,Eletronic!$A$1:$A$76,0),7)</f>
        <v>1854.82694657</v>
      </c>
      <c r="D126" s="311">
        <f>INDEX(Eletronic!$A$1:$T$76,MATCH(B126,Eletronic!$A$1:$A$76,0),8)</f>
        <v>2690.8269118799999</v>
      </c>
      <c r="E126" s="311">
        <f>INDEX(Eletronic!$A$1:$T$76,MATCH(B126,Eletronic!$A$1:$A$76,0),15)</f>
        <v>139098.07965294999</v>
      </c>
      <c r="F126" s="311">
        <f>INDEX(Eletronic!$A$1:$T$76,MATCH(B126,Eletronic!$A$1:$A$76,0),16)</f>
        <v>167320.49519441</v>
      </c>
      <c r="G126" s="347">
        <f>INDEX(Eletronic!$A$1:$T$76,MATCH(B126,Eletronic!$A$1:$A$76,0),17)</f>
        <v>1.3334669689170384E-2</v>
      </c>
      <c r="H126" s="347">
        <f>INDEX(Eletronic!$A$1:$T$76,MATCH(B126,Eletronic!$A$1:$A$76,0),18)</f>
        <v>1.6081872748186187E-2</v>
      </c>
      <c r="I126" s="347">
        <f>INDEX(Eletronic!$A$1:$T$76,MATCH(B126,Eletronic!$A$1:$A$76,0),19)</f>
        <v>2.7472030590158028E-3</v>
      </c>
    </row>
    <row r="127" spans="2:12" x14ac:dyDescent="0.45">
      <c r="B127" s="293" t="s">
        <v>75</v>
      </c>
      <c r="C127" s="311">
        <f>INDEX(Eletronic!$A$1:$T$76,MATCH(B127,Eletronic!$A$1:$A$76,0),7)</f>
        <v>15493.02549536</v>
      </c>
      <c r="D127" s="311">
        <f>INDEX(Eletronic!$A$1:$T$76,MATCH(B127,Eletronic!$A$1:$A$76,0),8)</f>
        <v>19044.063007109999</v>
      </c>
      <c r="E127" s="311">
        <f>INDEX(Eletronic!$A$1:$T$76,MATCH(B127,Eletronic!$A$1:$A$76,0),15)</f>
        <v>1239119.2771185001</v>
      </c>
      <c r="F127" s="311">
        <f>INDEX(Eletronic!$A$1:$T$76,MATCH(B127,Eletronic!$A$1:$A$76,0),16)</f>
        <v>1262038.2891611001</v>
      </c>
      <c r="G127" s="347">
        <f>INDEX(Eletronic!$A$1:$T$76,MATCH(B127,Eletronic!$A$1:$A$76,0),17)</f>
        <v>1.2503255966922032E-2</v>
      </c>
      <c r="H127" s="347">
        <f>INDEX(Eletronic!$A$1:$T$76,MATCH(B127,Eletronic!$A$1:$A$76,0),18)</f>
        <v>1.5089924902174668E-2</v>
      </c>
      <c r="I127" s="347">
        <f>INDEX(Eletronic!$A$1:$T$76,MATCH(B127,Eletronic!$A$1:$A$76,0),19)</f>
        <v>2.5866689352526361E-3</v>
      </c>
    </row>
    <row r="128" spans="2:12" x14ac:dyDescent="0.45">
      <c r="B128" s="294" t="s">
        <v>18</v>
      </c>
      <c r="C128" s="313">
        <v>7126.2290258499997</v>
      </c>
      <c r="D128" s="313">
        <v>6767.3889727200003</v>
      </c>
      <c r="E128" s="313">
        <v>1855726.8356911</v>
      </c>
      <c r="F128" s="313">
        <v>1898091.4722179</v>
      </c>
      <c r="G128" s="352">
        <v>3.8401282391306731E-3</v>
      </c>
      <c r="H128" s="352">
        <v>3.5653650373405751E-3</v>
      </c>
      <c r="I128" s="361">
        <v>-2.74763201790098E-4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160C-8DEA-4BC9-BB40-3265A264B767}">
  <sheetPr>
    <tabColor theme="4" tint="0.39997558519241921"/>
  </sheetPr>
  <dimension ref="A1:O166"/>
  <sheetViews>
    <sheetView showGridLines="0" zoomScale="110" zoomScaleNormal="110" workbookViewId="0"/>
  </sheetViews>
  <sheetFormatPr defaultColWidth="9.53125" defaultRowHeight="11.65" outlineLevelRow="1" x14ac:dyDescent="0.35"/>
  <cols>
    <col min="1" max="1" width="3" style="26" customWidth="1"/>
    <col min="2" max="2" width="16.33203125" style="4" customWidth="1"/>
    <col min="3" max="3" width="12" style="28" customWidth="1"/>
    <col min="4" max="4" width="12.33203125" style="4" customWidth="1"/>
    <col min="5" max="5" width="10.46484375" style="4" customWidth="1"/>
    <col min="6" max="6" width="13.86328125" style="4" bestFit="1" customWidth="1"/>
    <col min="7" max="7" width="14.1328125" style="4" customWidth="1"/>
    <col min="8" max="8" width="13.53125" style="4" customWidth="1"/>
    <col min="9" max="9" width="18.33203125" style="4" customWidth="1"/>
    <col min="10" max="10" width="12.6640625" style="4" bestFit="1" customWidth="1"/>
    <col min="11" max="11" width="3.53125" style="4" customWidth="1"/>
    <col min="12" max="13" width="13.33203125" style="26" bestFit="1" customWidth="1"/>
    <col min="14" max="14" width="14.33203125" style="26" bestFit="1" customWidth="1"/>
    <col min="15" max="15" width="9.53125" style="26" bestFit="1"/>
    <col min="16" max="16" width="10.6640625" style="26" bestFit="1" customWidth="1"/>
    <col min="17" max="17" width="60.86328125" style="26" bestFit="1" customWidth="1"/>
    <col min="18" max="21" width="11.33203125" style="26" bestFit="1" customWidth="1"/>
    <col min="22" max="25" width="12.46484375" style="26" bestFit="1" customWidth="1"/>
    <col min="26" max="26" width="9.53125" style="26"/>
    <col min="27" max="27" width="43.33203125" style="26" bestFit="1" customWidth="1"/>
    <col min="28" max="28" width="10.33203125" style="26" bestFit="1" customWidth="1"/>
    <col min="29" max="29" width="7.86328125" style="26" bestFit="1" customWidth="1"/>
    <col min="30" max="30" width="9.53125" style="26"/>
    <col min="31" max="31" width="11.1328125" style="26" bestFit="1" customWidth="1"/>
    <col min="32" max="33" width="5.33203125" style="26" bestFit="1" customWidth="1"/>
    <col min="34" max="34" width="11.1328125" style="26" bestFit="1" customWidth="1"/>
    <col min="35" max="35" width="12" style="26" bestFit="1" customWidth="1"/>
    <col min="36" max="16384" width="9.53125" style="26"/>
  </cols>
  <sheetData>
    <row r="1" spans="1:14" s="69" customFormat="1" ht="22.25" customHeight="1" thickBot="1" x14ac:dyDescent="0.6">
      <c r="A1" s="70" t="s">
        <v>1015</v>
      </c>
    </row>
    <row r="3" spans="1:14" x14ac:dyDescent="0.35">
      <c r="C3" s="278" t="s">
        <v>853</v>
      </c>
      <c r="D3" s="279"/>
    </row>
    <row r="4" spans="1:14" x14ac:dyDescent="0.35">
      <c r="B4" s="30" t="s">
        <v>41</v>
      </c>
      <c r="C4" s="30" t="s">
        <v>181</v>
      </c>
      <c r="D4" s="30" t="s">
        <v>182</v>
      </c>
    </row>
    <row r="5" spans="1:14" x14ac:dyDescent="0.35">
      <c r="B5" s="27" t="s">
        <v>86</v>
      </c>
      <c r="C5" s="39">
        <f>I31-$F$30</f>
        <v>9.3970791716512306E-3</v>
      </c>
      <c r="D5" s="39">
        <f>J31-F30</f>
        <v>2.1275998285854712E-2</v>
      </c>
    </row>
    <row r="6" spans="1:14" x14ac:dyDescent="0.35">
      <c r="B6" s="27" t="s">
        <v>87</v>
      </c>
      <c r="C6" s="39">
        <f>I47-$F$46</f>
        <v>3.9058239918750223E-3</v>
      </c>
      <c r="D6" s="39">
        <f>J47-$F$46</f>
        <v>1.1561212037039161E-2</v>
      </c>
    </row>
    <row r="7" spans="1:14" x14ac:dyDescent="0.35">
      <c r="B7" s="27" t="s">
        <v>88</v>
      </c>
      <c r="C7" s="39">
        <f>I62-$F$61</f>
        <v>1.149494187747082E-2</v>
      </c>
      <c r="D7" s="39">
        <f>J62-$F$61</f>
        <v>4.584443286019059E-2</v>
      </c>
    </row>
    <row r="8" spans="1:14" x14ac:dyDescent="0.35">
      <c r="B8" s="27" t="s">
        <v>89</v>
      </c>
      <c r="C8" s="39">
        <f>I77-$F$76</f>
        <v>5.3481999805887227E-4</v>
      </c>
      <c r="D8" s="39">
        <f>J77-$F$76</f>
        <v>1.6353218023272647E-2</v>
      </c>
    </row>
    <row r="9" spans="1:14" x14ac:dyDescent="0.35">
      <c r="B9" s="27" t="s">
        <v>90</v>
      </c>
      <c r="C9" s="39">
        <f>I92-$F$91</f>
        <v>2.936228772482001E-3</v>
      </c>
      <c r="D9" s="39">
        <f>J92-$F$91</f>
        <v>1.327294919237915E-2</v>
      </c>
    </row>
    <row r="10" spans="1:14" x14ac:dyDescent="0.35">
      <c r="B10" s="27" t="s">
        <v>91</v>
      </c>
      <c r="C10" s="39">
        <f>I107-$F$106</f>
        <v>3.6601685303093427E-2</v>
      </c>
      <c r="D10" s="39">
        <f>J107-$F$106</f>
        <v>5.1975400478689135E-2</v>
      </c>
    </row>
    <row r="11" spans="1:14" x14ac:dyDescent="0.35">
      <c r="B11" s="27" t="s">
        <v>92</v>
      </c>
      <c r="C11" s="39">
        <f>I122-$F$121</f>
        <v>1.8433425504031018E-2</v>
      </c>
      <c r="D11" s="39">
        <f>J122-$F$121</f>
        <v>3.9298349258148527E-2</v>
      </c>
    </row>
    <row r="12" spans="1:14" x14ac:dyDescent="0.35">
      <c r="B12" s="331" t="s">
        <v>93</v>
      </c>
      <c r="C12" s="332">
        <f>I137</f>
        <v>5.9615211794127675E-2</v>
      </c>
      <c r="D12" s="332">
        <f>J137</f>
        <v>0.13164590161622911</v>
      </c>
      <c r="F12" s="333" t="s">
        <v>912</v>
      </c>
    </row>
    <row r="13" spans="1:14" x14ac:dyDescent="0.35">
      <c r="B13" s="27" t="s">
        <v>94</v>
      </c>
      <c r="C13" s="39">
        <f>I152-$F$151</f>
        <v>1.2053657957779674E-2</v>
      </c>
      <c r="D13" s="39">
        <f>J152-$F$151</f>
        <v>2.5081259979173081E-2</v>
      </c>
    </row>
    <row r="15" spans="1:14" x14ac:dyDescent="0.35">
      <c r="B15" s="30" t="s">
        <v>41</v>
      </c>
      <c r="C15" s="30" t="s">
        <v>78</v>
      </c>
      <c r="D15" s="30" t="s">
        <v>79</v>
      </c>
      <c r="E15" s="30" t="s">
        <v>80</v>
      </c>
      <c r="F15" s="30" t="s">
        <v>246</v>
      </c>
      <c r="G15" s="30" t="s">
        <v>245</v>
      </c>
      <c r="H15" s="30" t="s">
        <v>81</v>
      </c>
      <c r="I15" s="30" t="s">
        <v>57</v>
      </c>
      <c r="J15" s="30" t="s">
        <v>82</v>
      </c>
      <c r="L15" s="30" t="s">
        <v>83</v>
      </c>
      <c r="M15" s="30" t="s">
        <v>84</v>
      </c>
      <c r="N15" s="30" t="s">
        <v>85</v>
      </c>
    </row>
    <row r="16" spans="1:14" x14ac:dyDescent="0.35">
      <c r="B16" s="27" t="s">
        <v>86</v>
      </c>
      <c r="C16" s="52">
        <f>$I$36</f>
        <v>3.800307505703357E-2</v>
      </c>
      <c r="D16" s="39">
        <f>I33</f>
        <v>3.1035023766465095E-2</v>
      </c>
      <c r="E16" s="39">
        <f>J33</f>
        <v>3.5739325049969857E-2</v>
      </c>
      <c r="F16" s="53">
        <f>I32</f>
        <v>54491.071183653563</v>
      </c>
      <c r="G16" s="53">
        <f>J32</f>
        <v>62750.84949211427</v>
      </c>
      <c r="H16" s="54">
        <f>$D$30</f>
        <v>51895.62553456</v>
      </c>
      <c r="I16" s="55">
        <f>$E$30</f>
        <v>-3.1509769032002401E-2</v>
      </c>
      <c r="J16" s="39">
        <f>$F$30</f>
        <v>-5.3219352155050581E-3</v>
      </c>
      <c r="L16" s="56">
        <f>I31</f>
        <v>4.0751439561461716E-3</v>
      </c>
      <c r="M16" s="56">
        <f>J31</f>
        <v>1.5954063070349654E-2</v>
      </c>
      <c r="N16" s="54">
        <v>53584.046462389997</v>
      </c>
    </row>
    <row r="17" spans="2:14" x14ac:dyDescent="0.35">
      <c r="B17" s="27" t="s">
        <v>87</v>
      </c>
      <c r="C17" s="52">
        <f>$I$52</f>
        <v>2.4864563135084557E-2</v>
      </c>
      <c r="D17" s="39">
        <f>I49</f>
        <v>2.2362247492730417E-2</v>
      </c>
      <c r="E17" s="39">
        <f>J49</f>
        <v>2.393370585948228E-2</v>
      </c>
      <c r="F17" s="53">
        <f>I48</f>
        <v>29693.278727227273</v>
      </c>
      <c r="G17" s="53">
        <f>J48</f>
        <v>31779.909389344994</v>
      </c>
      <c r="H17" s="54">
        <f>$D$46</f>
        <v>26985.949431370002</v>
      </c>
      <c r="I17" s="57">
        <f>$E$46</f>
        <v>4.1335486893533391E-2</v>
      </c>
      <c r="J17" s="39">
        <f>$F$46</f>
        <v>6.7735056871887078E-3</v>
      </c>
      <c r="L17" s="56">
        <f>I47</f>
        <v>1.067932967906373E-2</v>
      </c>
      <c r="M17" s="56">
        <f>J47</f>
        <v>1.8334717724227869E-2</v>
      </c>
      <c r="N17" s="54">
        <v>25914.750597689999</v>
      </c>
    </row>
    <row r="18" spans="2:14" x14ac:dyDescent="0.35">
      <c r="B18" s="27" t="s">
        <v>88</v>
      </c>
      <c r="C18" s="52">
        <f>$I$67</f>
        <v>2.5681434755613464E-2</v>
      </c>
      <c r="D18" s="39">
        <f>I64</f>
        <v>2.2620586188854139E-2</v>
      </c>
      <c r="E18" s="39">
        <f>J64</f>
        <v>3.0462433733016409E-2</v>
      </c>
      <c r="F18" s="53">
        <f>I63</f>
        <v>22910.165007597552</v>
      </c>
      <c r="G18" s="53">
        <f>J63</f>
        <v>30852.400443110018</v>
      </c>
      <c r="H18" s="54">
        <f>$D$61</f>
        <v>18902.200928599999</v>
      </c>
      <c r="I18" s="57">
        <f>$E$61</f>
        <v>6.2162845024788416E-2</v>
      </c>
      <c r="J18" s="39">
        <f>$F$61</f>
        <v>1.0101891247594974E-2</v>
      </c>
      <c r="L18" s="56">
        <f>I62</f>
        <v>2.1596833125065794E-2</v>
      </c>
      <c r="M18" s="56">
        <f>J62</f>
        <v>5.5946324107785564E-2</v>
      </c>
      <c r="N18" s="54">
        <v>17795.953809850002</v>
      </c>
    </row>
    <row r="19" spans="2:14" x14ac:dyDescent="0.35">
      <c r="B19" s="27" t="s">
        <v>89</v>
      </c>
      <c r="C19" s="52">
        <f>$I$82</f>
        <v>2.1132238759247982E-2</v>
      </c>
      <c r="D19" s="39">
        <f>I79</f>
        <v>1.9141100068251062E-2</v>
      </c>
      <c r="E19" s="39">
        <f>J79</f>
        <v>2.2007193418305145E-2</v>
      </c>
      <c r="F19" s="53">
        <f>I78</f>
        <v>23733.859760011881</v>
      </c>
      <c r="G19" s="53">
        <f>J78</f>
        <v>27287.650157989861</v>
      </c>
      <c r="H19" s="54">
        <f>$D$76</f>
        <v>21237.925348559998</v>
      </c>
      <c r="I19" s="58">
        <f>$E$76</f>
        <v>7.3480042031101922E-2</v>
      </c>
      <c r="J19" s="39">
        <f>$F$76</f>
        <v>1.1887728450826085E-2</v>
      </c>
      <c r="L19" s="56">
        <f>I77</f>
        <v>1.2422548448884957E-2</v>
      </c>
      <c r="M19" s="56">
        <f>J77</f>
        <v>2.8240946474098732E-2</v>
      </c>
      <c r="N19" s="54">
        <v>19784.182767269998</v>
      </c>
    </row>
    <row r="20" spans="2:14" x14ac:dyDescent="0.35">
      <c r="B20" s="27" t="s">
        <v>90</v>
      </c>
      <c r="C20" s="52">
        <f>$I$97</f>
        <v>1.1523102735374236E-2</v>
      </c>
      <c r="D20" s="39">
        <f>I94</f>
        <v>9.9102943905435472E-3</v>
      </c>
      <c r="E20" s="39">
        <f>J94</f>
        <v>1.0862809292809203E-2</v>
      </c>
      <c r="F20" s="53">
        <f>I93</f>
        <v>15214.19644446179</v>
      </c>
      <c r="G20" s="53">
        <f>J93</f>
        <v>16676.488912097779</v>
      </c>
      <c r="H20" s="54">
        <f>$D$91</f>
        <v>14090.01815631</v>
      </c>
      <c r="I20" s="58">
        <f>$E$91</f>
        <v>3.4255326031868538E-2</v>
      </c>
      <c r="J20" s="39">
        <f>$F$91</f>
        <v>5.6293985153554882E-3</v>
      </c>
      <c r="L20" s="56">
        <f>I92</f>
        <v>8.5656272878374892E-3</v>
      </c>
      <c r="M20" s="56">
        <f>J92</f>
        <v>1.8902347707734638E-2</v>
      </c>
      <c r="N20" s="54">
        <v>13623.34599752</v>
      </c>
    </row>
    <row r="21" spans="2:14" x14ac:dyDescent="0.35">
      <c r="B21" s="27" t="s">
        <v>91</v>
      </c>
      <c r="C21" s="52">
        <f>$I$112</f>
        <v>1.0700608433312268E-2</v>
      </c>
      <c r="D21" s="39">
        <f>I109</f>
        <v>8.5837546854032921E-3</v>
      </c>
      <c r="E21" s="39">
        <f>J109</f>
        <v>9.8171473649955425E-3</v>
      </c>
      <c r="F21" s="53">
        <f>I108</f>
        <v>9702.9633346171504</v>
      </c>
      <c r="G21" s="53">
        <f>J108</f>
        <v>11097.174188245073</v>
      </c>
      <c r="H21" s="54">
        <f>$D$106</f>
        <v>7914.0344711799999</v>
      </c>
      <c r="I21" s="59">
        <f>$E$106</f>
        <v>-7.9433491796890854E-2</v>
      </c>
      <c r="J21" s="39">
        <f>$F$106</f>
        <v>-1.3699632196883416E-2</v>
      </c>
      <c r="L21" s="56">
        <f>I107</f>
        <v>2.2902053106210012E-2</v>
      </c>
      <c r="M21" s="56">
        <f>J107</f>
        <v>3.8275768281805719E-2</v>
      </c>
      <c r="N21" s="54">
        <v>8596.9176595699992</v>
      </c>
    </row>
    <row r="22" spans="2:14" x14ac:dyDescent="0.35">
      <c r="B22" s="27" t="s">
        <v>92</v>
      </c>
      <c r="C22" s="52">
        <f>$I$127</f>
        <v>1.0552430453211045E-2</v>
      </c>
      <c r="D22" s="39">
        <f>I124</f>
        <v>8.7408625697814653E-3</v>
      </c>
      <c r="E22" s="39">
        <f>J124</f>
        <v>1.0510088220009997E-2</v>
      </c>
      <c r="F22" s="53">
        <f>I123</f>
        <v>8963.2214103550159</v>
      </c>
      <c r="G22" s="53">
        <f>J123</f>
        <v>10777.454399522598</v>
      </c>
      <c r="H22" s="54">
        <f>$D$121</f>
        <v>8316.0853678900003</v>
      </c>
      <c r="I22" s="55">
        <f>$E$121</f>
        <v>-5.8931819452992307E-2</v>
      </c>
      <c r="J22" s="60">
        <f>$F$121</f>
        <v>-1.0072213161012922E-2</v>
      </c>
      <c r="L22" s="56">
        <f>I122</f>
        <v>8.3612123430180964E-3</v>
      </c>
      <c r="M22" s="56">
        <f>J122</f>
        <v>2.9226136097135608E-2</v>
      </c>
      <c r="N22" s="54">
        <v>8836.8574560199995</v>
      </c>
    </row>
    <row r="23" spans="2:14" x14ac:dyDescent="0.35">
      <c r="B23" s="27" t="s">
        <v>93</v>
      </c>
      <c r="C23" s="52">
        <f>$I$142</f>
        <v>9.0077634156999209E-3</v>
      </c>
      <c r="D23" s="39">
        <f>I139</f>
        <v>1.0583132671102171E-2</v>
      </c>
      <c r="E23" s="39">
        <f>J139</f>
        <v>1.912826480206779E-2</v>
      </c>
      <c r="F23" s="53">
        <f>I138</f>
        <v>6459.0431904364723</v>
      </c>
      <c r="G23" s="53">
        <f>J138</f>
        <v>11674.264355772702</v>
      </c>
      <c r="H23" s="54">
        <f>$D$136</f>
        <v>3835.61076761</v>
      </c>
      <c r="I23" s="55">
        <f>$E$136</f>
        <v>-0.33734988320017778</v>
      </c>
      <c r="J23" s="39">
        <f>$F$136</f>
        <v>-6.6285621911501336E-2</v>
      </c>
      <c r="L23" s="56">
        <f>I137</f>
        <v>5.9615211794127675E-2</v>
      </c>
      <c r="M23" s="56">
        <f>J137</f>
        <v>0.13164590161622911</v>
      </c>
      <c r="N23" s="54">
        <v>5788.2895820399999</v>
      </c>
    </row>
    <row r="24" spans="2:14" x14ac:dyDescent="0.35">
      <c r="B24" s="27" t="s">
        <v>94</v>
      </c>
      <c r="C24" s="52">
        <f>$I$157</f>
        <v>4.8149584647116644E-3</v>
      </c>
      <c r="D24" s="39">
        <f>I154</f>
        <v>3.5132853610207273E-3</v>
      </c>
      <c r="E24" s="39">
        <f>J154</f>
        <v>3.9457597617699588E-3</v>
      </c>
      <c r="F24" s="53">
        <f>I153</f>
        <v>6982.2856930133321</v>
      </c>
      <c r="G24" s="53">
        <f>J153</f>
        <v>7841.7831464364044</v>
      </c>
      <c r="H24" s="54">
        <f>$D$151</f>
        <v>6767.3889727200003</v>
      </c>
      <c r="I24" s="59">
        <f>$E$151</f>
        <v>-5.0354830279566776E-2</v>
      </c>
      <c r="J24" s="39">
        <f>$F$151</f>
        <v>-8.5741752371948365E-3</v>
      </c>
      <c r="L24" s="56">
        <f>I152</f>
        <v>3.4794827205848378E-3</v>
      </c>
      <c r="M24" s="56">
        <f>J152</f>
        <v>1.6507084741978244E-2</v>
      </c>
      <c r="N24" s="54">
        <v>7126.2290258499997</v>
      </c>
    </row>
    <row r="25" spans="2:14" x14ac:dyDescent="0.35">
      <c r="B25" s="27" t="s">
        <v>95</v>
      </c>
      <c r="C25" s="61"/>
      <c r="D25" s="61">
        <f>SUM(I63,I32,I138,I123,I48,I153,I108,I93,I78)/SUM(N61,N30,N136,N121,N46,N151,N106,N91,N76)</f>
        <v>1.5324614261974571E-2</v>
      </c>
      <c r="E25" s="61">
        <f>SUM(J63,J32,J138,J123,J48,J153,J108,J93,J78)/SUM(N61,N30,N136,N121,N46,N151,N106,N91,N76)</f>
        <v>1.8127850872672362E-2</v>
      </c>
      <c r="F25" s="53">
        <f>SUM(F16:F24)</f>
        <v>178150.084751374</v>
      </c>
      <c r="G25" s="53">
        <f>SUM(G16:G24)</f>
        <v>210737.97448463371</v>
      </c>
      <c r="H25" s="54">
        <f>SUM(H16:H24)</f>
        <v>159944.83897879999</v>
      </c>
      <c r="I25" s="54"/>
      <c r="J25" s="39"/>
      <c r="N25" s="54">
        <v>161050.57335819997</v>
      </c>
    </row>
    <row r="27" spans="2:14" ht="14.25" x14ac:dyDescent="0.45">
      <c r="B27" s="27" t="s">
        <v>96</v>
      </c>
      <c r="M27" s="29"/>
      <c r="N27"/>
    </row>
    <row r="28" spans="2:14" ht="14.25" outlineLevel="1" x14ac:dyDescent="0.45">
      <c r="E28" s="4">
        <f>(D30/C30)-1</f>
        <v>-3.1509769032002422E-2</v>
      </c>
      <c r="N28"/>
    </row>
    <row r="29" spans="2:14" outlineLevel="1" x14ac:dyDescent="0.35">
      <c r="B29" s="30" t="s">
        <v>54</v>
      </c>
      <c r="C29" s="30" t="s">
        <v>55</v>
      </c>
      <c r="D29" s="30" t="s">
        <v>56</v>
      </c>
      <c r="E29" s="30" t="s">
        <v>57</v>
      </c>
      <c r="F29" s="62" t="s">
        <v>39</v>
      </c>
      <c r="G29" s="31" t="s">
        <v>58</v>
      </c>
      <c r="H29" s="31" t="s">
        <v>59</v>
      </c>
      <c r="I29" s="32" t="s">
        <v>181</v>
      </c>
      <c r="J29" s="32" t="s">
        <v>182</v>
      </c>
      <c r="L29" s="30" t="s">
        <v>60</v>
      </c>
      <c r="M29" s="30" t="s">
        <v>61</v>
      </c>
      <c r="N29" s="30" t="s">
        <v>62</v>
      </c>
    </row>
    <row r="30" spans="2:14" outlineLevel="1" x14ac:dyDescent="0.35">
      <c r="B30" s="33" t="s">
        <v>18</v>
      </c>
      <c r="C30" s="34">
        <v>53584.046462389997</v>
      </c>
      <c r="D30" s="34">
        <v>51895.62553456</v>
      </c>
      <c r="E30" s="35">
        <v>-3.1509769032002401E-2</v>
      </c>
      <c r="F30" s="35">
        <f>(E30+1)^(1/6)-1</f>
        <v>-5.3219352155050581E-3</v>
      </c>
      <c r="G30" s="36">
        <f>QUARTILE(E31:E40,1)</f>
        <v>3.2309663628900198E-2</v>
      </c>
      <c r="H30" s="36">
        <f>AVERAGE(E31:E40)</f>
        <v>0.13149606092669958</v>
      </c>
      <c r="I30" s="37"/>
      <c r="J30" s="37"/>
      <c r="L30" s="38">
        <v>1159751.0760385999</v>
      </c>
      <c r="M30" s="38">
        <v>1365563.8512587999</v>
      </c>
      <c r="N30" s="38">
        <v>1755792.7969926</v>
      </c>
    </row>
    <row r="31" spans="2:14" outlineLevel="1" x14ac:dyDescent="0.35">
      <c r="B31" s="4" t="s">
        <v>97</v>
      </c>
      <c r="C31" s="28">
        <v>41805.287833659997</v>
      </c>
      <c r="D31" s="28">
        <v>42812.240424230004</v>
      </c>
      <c r="E31" s="39">
        <v>2.4086727845926914E-2</v>
      </c>
      <c r="F31" s="39">
        <f t="shared" ref="F31:F40" si="0">(E31+1)^(1/6)-1</f>
        <v>3.9747481405632001E-3</v>
      </c>
      <c r="G31" s="40">
        <f>(G30+1)^(1/6)-1</f>
        <v>5.3138492975872698E-3</v>
      </c>
      <c r="H31" s="40">
        <f>(H30+1)^(1/6)-1</f>
        <v>2.0803556328894413E-2</v>
      </c>
      <c r="I31" s="41">
        <f>$G31*$N34/$M34</f>
        <v>4.0751439561461716E-3</v>
      </c>
      <c r="J31" s="42">
        <f>$H31*$N34/$M34</f>
        <v>1.5954063070349654E-2</v>
      </c>
      <c r="L31" s="30"/>
      <c r="M31" s="30" t="s">
        <v>64</v>
      </c>
      <c r="N31" s="30" t="s">
        <v>65</v>
      </c>
    </row>
    <row r="32" spans="2:14" outlineLevel="1" x14ac:dyDescent="0.35">
      <c r="B32" s="4" t="s">
        <v>75</v>
      </c>
      <c r="C32" s="28">
        <v>39588.217762339998</v>
      </c>
      <c r="D32" s="28">
        <v>45837.06156414</v>
      </c>
      <c r="E32" s="39">
        <v>0.15784605003725338</v>
      </c>
      <c r="F32" s="39">
        <f t="shared" si="0"/>
        <v>2.472768515014323E-2</v>
      </c>
      <c r="I32" s="43">
        <f>D30*(1+I31)^12</f>
        <v>54491.071183653563</v>
      </c>
      <c r="J32" s="43">
        <f>D30*(1+J31)^12</f>
        <v>62750.84949211427</v>
      </c>
      <c r="L32" s="44"/>
      <c r="M32" s="44">
        <v>0.17746288791832932</v>
      </c>
      <c r="N32" s="44">
        <v>0.28576396876212007</v>
      </c>
    </row>
    <row r="33" spans="2:14" outlineLevel="1" x14ac:dyDescent="0.35">
      <c r="B33" s="4" t="s">
        <v>98</v>
      </c>
      <c r="C33" s="28">
        <v>39335.667721780002</v>
      </c>
      <c r="D33" s="28">
        <v>40356.684352149998</v>
      </c>
      <c r="E33" s="39">
        <v>2.5956509435447028E-2</v>
      </c>
      <c r="F33" s="39">
        <f t="shared" si="0"/>
        <v>4.2800261584494681E-3</v>
      </c>
      <c r="I33" s="45">
        <f>I32/N30</f>
        <v>3.1035023766465095E-2</v>
      </c>
      <c r="J33" s="45">
        <f>J32/N30</f>
        <v>3.5739325049969857E-2</v>
      </c>
      <c r="L33" s="30"/>
      <c r="M33" s="30" t="s">
        <v>68</v>
      </c>
      <c r="N33" s="30" t="s">
        <v>69</v>
      </c>
    </row>
    <row r="34" spans="2:14" outlineLevel="1" x14ac:dyDescent="0.35">
      <c r="B34" s="4" t="s">
        <v>99</v>
      </c>
      <c r="C34" s="28">
        <v>32607.318518259999</v>
      </c>
      <c r="D34" s="28">
        <v>44543.688860200004</v>
      </c>
      <c r="E34" s="39">
        <v>0.3660641501464057</v>
      </c>
      <c r="F34" s="39">
        <f t="shared" si="0"/>
        <v>5.336410665310809E-2</v>
      </c>
      <c r="I34" s="46" t="s">
        <v>71</v>
      </c>
      <c r="J34" s="46"/>
      <c r="M34" s="47">
        <v>2.7601046645173044E-2</v>
      </c>
      <c r="N34" s="47">
        <v>2.1166998181611163E-2</v>
      </c>
    </row>
    <row r="35" spans="2:14" ht="14.25" outlineLevel="1" x14ac:dyDescent="0.45">
      <c r="B35" s="4" t="s">
        <v>100</v>
      </c>
      <c r="C35" s="28">
        <v>78804.872216920005</v>
      </c>
      <c r="D35" s="28">
        <v>79760.641151029995</v>
      </c>
      <c r="E35" s="39">
        <v>1.2128297492560058E-2</v>
      </c>
      <c r="F35" s="39">
        <f t="shared" si="0"/>
        <v>2.011243009458985E-3</v>
      </c>
      <c r="I35" s="48">
        <f>D30</f>
        <v>51895.62553456</v>
      </c>
      <c r="J35" s="49"/>
      <c r="N35"/>
    </row>
    <row r="36" spans="2:14" ht="14.25" outlineLevel="1" x14ac:dyDescent="0.45">
      <c r="B36" s="4" t="s">
        <v>101</v>
      </c>
      <c r="C36" s="28">
        <v>25962.245779109999</v>
      </c>
      <c r="D36" s="28">
        <v>28150.758531209998</v>
      </c>
      <c r="E36" s="39">
        <v>8.4295972340765024E-2</v>
      </c>
      <c r="F36" s="39">
        <f t="shared" si="0"/>
        <v>1.3579863822322569E-2</v>
      </c>
      <c r="I36" s="50">
        <f>I35/M30</f>
        <v>3.800307505703357E-2</v>
      </c>
      <c r="J36" s="50"/>
      <c r="N36"/>
    </row>
    <row r="37" spans="2:14" ht="14.25" outlineLevel="1" x14ac:dyDescent="0.45">
      <c r="B37" s="4" t="s">
        <v>76</v>
      </c>
      <c r="C37" s="28">
        <v>24482.857654669999</v>
      </c>
      <c r="D37" s="28">
        <v>34355.297813899997</v>
      </c>
      <c r="E37" s="39">
        <v>0.40323888242461248</v>
      </c>
      <c r="F37" s="39">
        <f t="shared" si="0"/>
        <v>5.8088355763104005E-2</v>
      </c>
      <c r="N37"/>
    </row>
    <row r="38" spans="2:14" ht="14.25" outlineLevel="1" x14ac:dyDescent="0.45">
      <c r="B38" s="4" t="s">
        <v>77</v>
      </c>
      <c r="C38" s="28">
        <v>22576.864587020002</v>
      </c>
      <c r="D38" s="28">
        <v>23736.6183934</v>
      </c>
      <c r="E38" s="39">
        <v>5.1369126209259708E-2</v>
      </c>
      <c r="F38" s="39">
        <f t="shared" si="0"/>
        <v>8.3838231290052079E-3</v>
      </c>
      <c r="N38"/>
    </row>
    <row r="39" spans="2:14" ht="14.25" outlineLevel="1" x14ac:dyDescent="0.45">
      <c r="B39" s="4" t="s">
        <v>63</v>
      </c>
      <c r="C39" s="28">
        <v>20108.87993273</v>
      </c>
      <c r="D39" s="28">
        <v>22047.590886890001</v>
      </c>
      <c r="E39" s="39">
        <v>9.6410688245468945E-2</v>
      </c>
      <c r="F39" s="39">
        <f t="shared" si="0"/>
        <v>1.5458572111032742E-2</v>
      </c>
      <c r="N39"/>
    </row>
    <row r="40" spans="2:14" ht="14.25" outlineLevel="1" x14ac:dyDescent="0.45">
      <c r="B40" s="4" t="s">
        <v>102</v>
      </c>
      <c r="C40" s="28">
        <v>17662.58409819</v>
      </c>
      <c r="D40" s="28">
        <v>19315.169739159999</v>
      </c>
      <c r="E40" s="39">
        <v>9.3564205089296637E-2</v>
      </c>
      <c r="F40" s="39">
        <f t="shared" si="0"/>
        <v>1.5018709949115028E-2</v>
      </c>
      <c r="L40" s="51"/>
      <c r="N40"/>
    </row>
    <row r="41" spans="2:14" ht="14.25" x14ac:dyDescent="0.45">
      <c r="D41" s="28"/>
      <c r="E41" s="39"/>
      <c r="F41" s="28"/>
      <c r="G41" s="26"/>
      <c r="L41" s="51"/>
      <c r="N41"/>
    </row>
    <row r="42" spans="2:14" ht="14.25" x14ac:dyDescent="0.45">
      <c r="D42" s="28"/>
      <c r="E42" s="39"/>
      <c r="F42" s="28"/>
      <c r="L42" s="51"/>
      <c r="N42"/>
    </row>
    <row r="43" spans="2:14" ht="14.25" x14ac:dyDescent="0.45">
      <c r="B43" s="27" t="s">
        <v>103</v>
      </c>
      <c r="M43" s="29"/>
      <c r="N43"/>
    </row>
    <row r="44" spans="2:14" ht="12.5" customHeight="1" outlineLevel="1" x14ac:dyDescent="0.45">
      <c r="B44" s="4" t="s">
        <v>226</v>
      </c>
      <c r="D44" s="4" t="s">
        <v>226</v>
      </c>
      <c r="E44" s="4" t="s">
        <v>227</v>
      </c>
      <c r="M44" s="29"/>
      <c r="N44"/>
    </row>
    <row r="45" spans="2:14" outlineLevel="1" x14ac:dyDescent="0.35">
      <c r="B45" s="30" t="s">
        <v>54</v>
      </c>
      <c r="C45" s="30" t="s">
        <v>55</v>
      </c>
      <c r="D45" s="30" t="s">
        <v>56</v>
      </c>
      <c r="E45" s="30" t="s">
        <v>57</v>
      </c>
      <c r="F45" s="62" t="s">
        <v>39</v>
      </c>
      <c r="G45" s="31" t="s">
        <v>58</v>
      </c>
      <c r="H45" s="31" t="s">
        <v>59</v>
      </c>
      <c r="I45" s="32" t="s">
        <v>181</v>
      </c>
      <c r="J45" s="32" t="s">
        <v>182</v>
      </c>
      <c r="L45" s="30" t="s">
        <v>60</v>
      </c>
      <c r="M45" s="30" t="s">
        <v>61</v>
      </c>
      <c r="N45" s="30" t="s">
        <v>180</v>
      </c>
    </row>
    <row r="46" spans="2:14" outlineLevel="1" x14ac:dyDescent="0.35">
      <c r="B46" s="33" t="s">
        <v>18</v>
      </c>
      <c r="C46" s="34">
        <v>25914.750597689999</v>
      </c>
      <c r="D46" s="34">
        <v>26985.949431370002</v>
      </c>
      <c r="E46" s="35">
        <v>4.1335486893533391E-2</v>
      </c>
      <c r="F46" s="35">
        <f>(E46+1)^(1/6)-1</f>
        <v>6.7735056871887078E-3</v>
      </c>
      <c r="G46" s="36">
        <f>QUARTILE(E47:E56,1)</f>
        <v>8.8347940038353945E-2</v>
      </c>
      <c r="H46" s="36">
        <f>AVERAGE(E47:E56)</f>
        <v>0.15560333604112403</v>
      </c>
      <c r="I46" s="37"/>
      <c r="J46" s="37"/>
      <c r="L46" s="38">
        <v>908124.31454736996</v>
      </c>
      <c r="M46" s="38">
        <v>1085317.6580968001</v>
      </c>
      <c r="N46" s="38">
        <v>1327830.6993463</v>
      </c>
    </row>
    <row r="47" spans="2:14" outlineLevel="1" x14ac:dyDescent="0.35">
      <c r="B47" s="4" t="s">
        <v>104</v>
      </c>
      <c r="C47" s="28">
        <v>30385.06636683</v>
      </c>
      <c r="D47" s="28">
        <v>34481.914893939997</v>
      </c>
      <c r="E47" s="39">
        <v>0.13483098827726581</v>
      </c>
      <c r="F47" s="39">
        <f t="shared" ref="F47:F56" si="1">(E47+1)^(1/6)-1</f>
        <v>2.1304387723082296E-2</v>
      </c>
      <c r="G47" s="40">
        <f>(G46+1)^(1/6)-1</f>
        <v>1.4210167214278924E-2</v>
      </c>
      <c r="H47" s="40">
        <f>(H46+1)^(1/6)-1</f>
        <v>2.4396606577157698E-2</v>
      </c>
      <c r="I47" s="41">
        <f>$G47*$N50/$M50</f>
        <v>1.067932967906373E-2</v>
      </c>
      <c r="J47" s="42">
        <f>$H47*$N50/$M50</f>
        <v>1.8334717724227869E-2</v>
      </c>
      <c r="L47" s="30"/>
      <c r="M47" s="30" t="s">
        <v>64</v>
      </c>
      <c r="N47" s="30" t="s">
        <v>186</v>
      </c>
    </row>
    <row r="48" spans="2:14" outlineLevel="1" x14ac:dyDescent="0.35">
      <c r="B48" s="4" t="s">
        <v>105</v>
      </c>
      <c r="C48" s="28">
        <v>21080.963782160001</v>
      </c>
      <c r="D48" s="28">
        <v>22317.157311430001</v>
      </c>
      <c r="E48" s="39">
        <v>5.8640275750397208E-2</v>
      </c>
      <c r="F48" s="39">
        <f t="shared" si="1"/>
        <v>9.5427992207164358E-3</v>
      </c>
      <c r="I48" s="43">
        <f>D46*(1+I47)^9</f>
        <v>29693.278727227273</v>
      </c>
      <c r="J48" s="43">
        <f>D46*(1+J47)^9</f>
        <v>31779.909389344994</v>
      </c>
      <c r="L48" s="44"/>
      <c r="M48" s="44">
        <v>0.19512014017348212</v>
      </c>
      <c r="N48" s="44">
        <v>0.22344890405152706</v>
      </c>
    </row>
    <row r="49" spans="2:14" outlineLevel="1" x14ac:dyDescent="0.35">
      <c r="B49" s="4" t="s">
        <v>97</v>
      </c>
      <c r="C49" s="28">
        <v>20642.107364650001</v>
      </c>
      <c r="D49" s="28">
        <v>22875.268881330001</v>
      </c>
      <c r="E49" s="39">
        <v>0.10818476414401035</v>
      </c>
      <c r="F49" s="39">
        <f t="shared" si="1"/>
        <v>1.7267951512808466E-2</v>
      </c>
      <c r="I49" s="45">
        <f>I48/$N$46</f>
        <v>2.2362247492730417E-2</v>
      </c>
      <c r="J49" s="45">
        <f>J48/$N$46</f>
        <v>2.393370585948228E-2</v>
      </c>
      <c r="L49" s="30"/>
      <c r="M49" s="30" t="s">
        <v>68</v>
      </c>
      <c r="N49" s="30" t="s">
        <v>243</v>
      </c>
    </row>
    <row r="50" spans="2:14" outlineLevel="1" x14ac:dyDescent="0.35">
      <c r="B50" s="4" t="s">
        <v>70</v>
      </c>
      <c r="C50" s="28">
        <v>19307.589513949999</v>
      </c>
      <c r="D50" s="28">
        <v>25466.58932495</v>
      </c>
      <c r="E50" s="39">
        <v>0.31899372039943352</v>
      </c>
      <c r="F50" s="39">
        <f t="shared" si="1"/>
        <v>4.7226092912257434E-2</v>
      </c>
      <c r="I50" s="46" t="s">
        <v>71</v>
      </c>
      <c r="J50" s="46"/>
      <c r="M50" s="47">
        <v>3.0153464709688604E-2</v>
      </c>
      <c r="N50" s="47">
        <v>2.2661154210571244E-2</v>
      </c>
    </row>
    <row r="51" spans="2:14" ht="14.25" outlineLevel="1" x14ac:dyDescent="0.45">
      <c r="B51" s="4" t="s">
        <v>99</v>
      </c>
      <c r="C51" s="28">
        <v>16872.25095066</v>
      </c>
      <c r="D51" s="28">
        <v>18270.917734940002</v>
      </c>
      <c r="E51" s="39">
        <v>8.2897462132952127E-2</v>
      </c>
      <c r="F51" s="39">
        <f t="shared" si="1"/>
        <v>1.3361863048208633E-2</v>
      </c>
      <c r="I51" s="48">
        <f>D46</f>
        <v>26985.949431370002</v>
      </c>
      <c r="J51" s="49"/>
      <c r="N51"/>
    </row>
    <row r="52" spans="2:14" ht="14.25" outlineLevel="1" x14ac:dyDescent="0.45">
      <c r="B52" s="4" t="s">
        <v>73</v>
      </c>
      <c r="C52" s="28">
        <v>15131.698924140001</v>
      </c>
      <c r="D52" s="28">
        <v>16715.978325339998</v>
      </c>
      <c r="E52" s="39">
        <v>0.1046993737545594</v>
      </c>
      <c r="F52" s="39">
        <f t="shared" si="1"/>
        <v>1.6734010575065295E-2</v>
      </c>
      <c r="I52" s="50">
        <f>I51/M46</f>
        <v>2.4864563135084557E-2</v>
      </c>
      <c r="J52" s="50"/>
      <c r="N52"/>
    </row>
    <row r="53" spans="2:14" ht="14.25" outlineLevel="1" x14ac:dyDescent="0.45">
      <c r="B53" s="4" t="s">
        <v>106</v>
      </c>
      <c r="C53" s="28">
        <v>13184.99312168</v>
      </c>
      <c r="D53" s="28">
        <v>16149.809531680001</v>
      </c>
      <c r="E53" s="39">
        <v>0.2248629470367316</v>
      </c>
      <c r="F53" s="39">
        <f t="shared" si="1"/>
        <v>3.4382702720698211E-2</v>
      </c>
      <c r="N53"/>
    </row>
    <row r="54" spans="2:14" ht="14.25" outlineLevel="1" x14ac:dyDescent="0.45">
      <c r="B54" s="4" t="s">
        <v>101</v>
      </c>
      <c r="C54" s="28">
        <v>12682.800951949999</v>
      </c>
      <c r="D54" s="28">
        <v>13296.67774617</v>
      </c>
      <c r="E54" s="39">
        <v>4.8402304549738817E-2</v>
      </c>
      <c r="F54" s="39">
        <f t="shared" si="1"/>
        <v>7.9090107253037001E-3</v>
      </c>
      <c r="N54"/>
    </row>
    <row r="55" spans="2:14" ht="14.25" outlineLevel="1" x14ac:dyDescent="0.45">
      <c r="B55" s="4" t="s">
        <v>63</v>
      </c>
      <c r="C55" s="28">
        <v>10677.52905868</v>
      </c>
      <c r="D55" s="28">
        <v>12708.496352390001</v>
      </c>
      <c r="E55" s="39">
        <v>0.19020948409959915</v>
      </c>
      <c r="F55" s="39">
        <f t="shared" si="1"/>
        <v>2.9446783736514659E-2</v>
      </c>
      <c r="I55" s="4">
        <f>1.07*4/0.7</f>
        <v>6.1142857142857148</v>
      </c>
      <c r="N55"/>
    </row>
    <row r="56" spans="2:14" ht="14.25" outlineLevel="1" x14ac:dyDescent="0.45">
      <c r="B56" s="4" t="s">
        <v>66</v>
      </c>
      <c r="C56" s="28">
        <v>10499.183604469999</v>
      </c>
      <c r="D56" s="28">
        <v>13484.227916190001</v>
      </c>
      <c r="E56" s="39">
        <v>0.28431204026655243</v>
      </c>
      <c r="F56" s="39">
        <f t="shared" si="1"/>
        <v>4.2585688266505661E-2</v>
      </c>
      <c r="L56" s="51"/>
      <c r="N56"/>
    </row>
    <row r="57" spans="2:14" ht="14.25" x14ac:dyDescent="0.45">
      <c r="D57" s="28"/>
      <c r="E57" s="39"/>
      <c r="F57" s="39"/>
      <c r="K57" s="77" t="s">
        <v>187</v>
      </c>
      <c r="L57" s="51"/>
      <c r="N57"/>
    </row>
    <row r="58" spans="2:14" ht="14.25" x14ac:dyDescent="0.45">
      <c r="B58" s="27" t="s">
        <v>40</v>
      </c>
      <c r="K58" s="77" t="s">
        <v>188</v>
      </c>
      <c r="M58" s="29"/>
      <c r="N58"/>
    </row>
    <row r="59" spans="2:14" ht="12.5" customHeight="1" outlineLevel="1" x14ac:dyDescent="0.45">
      <c r="M59" s="29"/>
      <c r="N59"/>
    </row>
    <row r="60" spans="2:14" outlineLevel="1" x14ac:dyDescent="0.35">
      <c r="B60" s="30" t="s">
        <v>54</v>
      </c>
      <c r="C60" s="30" t="s">
        <v>55</v>
      </c>
      <c r="D60" s="30" t="s">
        <v>56</v>
      </c>
      <c r="E60" s="30" t="s">
        <v>57</v>
      </c>
      <c r="F60" s="62" t="s">
        <v>39</v>
      </c>
      <c r="G60" s="31" t="s">
        <v>58</v>
      </c>
      <c r="H60" s="31" t="s">
        <v>59</v>
      </c>
      <c r="I60" s="32" t="s">
        <v>181</v>
      </c>
      <c r="J60" s="32" t="s">
        <v>182</v>
      </c>
      <c r="L60" s="30" t="s">
        <v>60</v>
      </c>
      <c r="M60" s="30" t="s">
        <v>61</v>
      </c>
      <c r="N60" s="30" t="s">
        <v>180</v>
      </c>
    </row>
    <row r="61" spans="2:14" outlineLevel="1" x14ac:dyDescent="0.35">
      <c r="B61" s="33" t="s">
        <v>18</v>
      </c>
      <c r="C61" s="34">
        <v>17795.953809850002</v>
      </c>
      <c r="D61" s="34">
        <v>18902.200928599999</v>
      </c>
      <c r="E61" s="35">
        <v>6.2162845024788416E-2</v>
      </c>
      <c r="F61" s="35">
        <f>(E61+1)^(1/6)-1</f>
        <v>1.0101891247594974E-2</v>
      </c>
      <c r="G61" s="36">
        <f>QUARTILE(E62:E71,1)</f>
        <v>7.8245696149663868E-2</v>
      </c>
      <c r="H61" s="36">
        <f>AVERAGE(E62:E71)</f>
        <v>0.21317409262507239</v>
      </c>
      <c r="I61" s="37"/>
      <c r="J61" s="37"/>
      <c r="L61" s="38">
        <v>649270.93178572005</v>
      </c>
      <c r="M61" s="38">
        <v>736025.89218534005</v>
      </c>
      <c r="N61" s="38">
        <v>1012801.5612118</v>
      </c>
    </row>
    <row r="62" spans="2:14" outlineLevel="1" x14ac:dyDescent="0.35">
      <c r="B62" s="4" t="s">
        <v>70</v>
      </c>
      <c r="C62" s="28">
        <v>13115.638021749999</v>
      </c>
      <c r="D62" s="28">
        <v>24191.715915029999</v>
      </c>
      <c r="E62" s="39">
        <v>0.84449402117626704</v>
      </c>
      <c r="F62" s="39">
        <f t="shared" ref="F62:F71" si="2">(E62+1)^(1/6)-1</f>
        <v>0.10742130735167033</v>
      </c>
      <c r="G62" s="40">
        <f>(G61+1)^(1/6)-1</f>
        <v>1.2635050355092714E-2</v>
      </c>
      <c r="H62" s="40">
        <f>(H61+1)^(1/6)-1</f>
        <v>3.273093875341293E-2</v>
      </c>
      <c r="I62" s="41">
        <f>$G62*$N65/$M65</f>
        <v>2.1596833125065794E-2</v>
      </c>
      <c r="J62" s="42">
        <f>$H62*$N65/$M65</f>
        <v>5.5946324107785564E-2</v>
      </c>
      <c r="L62" s="30"/>
      <c r="M62" s="30" t="s">
        <v>64</v>
      </c>
      <c r="N62" s="30" t="s">
        <v>186</v>
      </c>
    </row>
    <row r="63" spans="2:14" outlineLevel="1" x14ac:dyDescent="0.35">
      <c r="B63" s="4" t="s">
        <v>75</v>
      </c>
      <c r="C63" s="28">
        <v>12563.67453563</v>
      </c>
      <c r="D63" s="28">
        <v>12740.271190920001</v>
      </c>
      <c r="E63" s="39">
        <v>1.4056131013994388E-2</v>
      </c>
      <c r="F63" s="39">
        <f t="shared" si="2"/>
        <v>2.3290847247723345E-3</v>
      </c>
      <c r="I63" s="43">
        <f>D61*(1+I62)^9</f>
        <v>22910.165007597552</v>
      </c>
      <c r="J63" s="43">
        <f>D61*(1+J62)^9</f>
        <v>30852.400443110018</v>
      </c>
      <c r="L63" s="44"/>
      <c r="M63" s="44">
        <v>0.13361904276387948</v>
      </c>
      <c r="N63" s="44">
        <v>0.3760406691735847</v>
      </c>
    </row>
    <row r="64" spans="2:14" outlineLevel="1" x14ac:dyDescent="0.35">
      <c r="B64" s="4" t="s">
        <v>99</v>
      </c>
      <c r="C64" s="28">
        <v>11577.513389309999</v>
      </c>
      <c r="D64" s="28">
        <v>14713.1212216</v>
      </c>
      <c r="E64" s="39">
        <v>0.27083603593024042</v>
      </c>
      <c r="F64" s="39">
        <f t="shared" si="2"/>
        <v>4.0754394981891817E-2</v>
      </c>
      <c r="I64" s="45">
        <f>I63/$N61</f>
        <v>2.2620586188854139E-2</v>
      </c>
      <c r="J64" s="45">
        <f>J63/$N61</f>
        <v>3.0462433733016409E-2</v>
      </c>
      <c r="L64" s="30"/>
      <c r="M64" s="30" t="s">
        <v>68</v>
      </c>
      <c r="N64" s="30" t="s">
        <v>243</v>
      </c>
    </row>
    <row r="65" spans="2:14" outlineLevel="1" x14ac:dyDescent="0.35">
      <c r="B65" s="4" t="s">
        <v>73</v>
      </c>
      <c r="C65" s="28">
        <v>9124.0919433899999</v>
      </c>
      <c r="D65" s="28">
        <v>10405.334383490001</v>
      </c>
      <c r="E65" s="39">
        <v>0.1404241044532879</v>
      </c>
      <c r="F65" s="39">
        <f t="shared" si="2"/>
        <v>2.2141601774215314E-2</v>
      </c>
      <c r="I65" s="46" t="s">
        <v>71</v>
      </c>
      <c r="J65" s="46"/>
      <c r="M65" s="47">
        <v>2.1122522695890433E-2</v>
      </c>
      <c r="N65" s="47">
        <v>3.610429598800069E-2</v>
      </c>
    </row>
    <row r="66" spans="2:14" ht="14.25" outlineLevel="1" x14ac:dyDescent="0.45">
      <c r="B66" s="4" t="s">
        <v>107</v>
      </c>
      <c r="C66" s="28">
        <v>5443.3667765999999</v>
      </c>
      <c r="D66" s="28">
        <v>7144.2696410299995</v>
      </c>
      <c r="E66" s="39">
        <v>0.31247258070903072</v>
      </c>
      <c r="F66" s="39">
        <f t="shared" si="2"/>
        <v>4.6361391003013397E-2</v>
      </c>
      <c r="I66" s="48">
        <f>D61</f>
        <v>18902.200928599999</v>
      </c>
      <c r="J66" s="49"/>
      <c r="N66"/>
    </row>
    <row r="67" spans="2:14" ht="14.25" outlineLevel="1" x14ac:dyDescent="0.45">
      <c r="B67" s="4" t="s">
        <v>108</v>
      </c>
      <c r="C67" s="28">
        <v>5408.3922127300002</v>
      </c>
      <c r="D67" s="28">
        <v>6320.7399777600003</v>
      </c>
      <c r="E67" s="39">
        <v>0.16869112467149883</v>
      </c>
      <c r="F67" s="39">
        <f t="shared" si="2"/>
        <v>2.6321178897788622E-2</v>
      </c>
      <c r="I67" s="50">
        <f>I66/M61</f>
        <v>2.5681434755613464E-2</v>
      </c>
      <c r="J67" s="50"/>
      <c r="N67"/>
    </row>
    <row r="68" spans="2:14" ht="14.25" outlineLevel="1" x14ac:dyDescent="0.45">
      <c r="B68" s="4" t="s">
        <v>72</v>
      </c>
      <c r="C68" s="28">
        <v>4961.31573974</v>
      </c>
      <c r="D68" s="28">
        <v>5266.07337517</v>
      </c>
      <c r="E68" s="39">
        <v>6.1426776971459374E-2</v>
      </c>
      <c r="F68" s="39">
        <f t="shared" si="2"/>
        <v>9.9851924898428646E-3</v>
      </c>
      <c r="N68"/>
    </row>
    <row r="69" spans="2:14" ht="14.25" outlineLevel="1" x14ac:dyDescent="0.45">
      <c r="B69" s="4" t="s">
        <v>109</v>
      </c>
      <c r="C69" s="28">
        <v>4163.0137165400001</v>
      </c>
      <c r="D69" s="28">
        <v>4698.8037965800004</v>
      </c>
      <c r="E69" s="39">
        <v>0.12870245368427735</v>
      </c>
      <c r="F69" s="39">
        <f t="shared" si="2"/>
        <v>2.0383071392681806E-2</v>
      </c>
      <c r="N69"/>
    </row>
    <row r="70" spans="2:14" ht="14.25" outlineLevel="1" x14ac:dyDescent="0.45">
      <c r="B70" s="4" t="s">
        <v>74</v>
      </c>
      <c r="C70" s="28">
        <v>3447.9898567800001</v>
      </c>
      <c r="D70" s="28">
        <v>3550.4990801499998</v>
      </c>
      <c r="E70" s="39">
        <v>2.9730140640764846E-2</v>
      </c>
      <c r="F70" s="39">
        <f t="shared" si="2"/>
        <v>4.894735024332908E-3</v>
      </c>
      <c r="N70"/>
    </row>
    <row r="71" spans="2:14" ht="14.25" outlineLevel="1" x14ac:dyDescent="0.45">
      <c r="B71" s="4" t="s">
        <v>105</v>
      </c>
      <c r="C71" s="28">
        <v>3158.5169344800001</v>
      </c>
      <c r="D71" s="28">
        <v>3666.7461781500001</v>
      </c>
      <c r="E71" s="39">
        <v>0.16090755699990322</v>
      </c>
      <c r="F71" s="39">
        <f t="shared" si="2"/>
        <v>2.5178775657630936E-2</v>
      </c>
      <c r="L71" s="51"/>
      <c r="N71"/>
    </row>
    <row r="72" spans="2:14" ht="14.25" x14ac:dyDescent="0.45">
      <c r="K72" s="77"/>
      <c r="N72"/>
    </row>
    <row r="73" spans="2:14" ht="14.25" x14ac:dyDescent="0.45">
      <c r="B73" s="27" t="s">
        <v>110</v>
      </c>
      <c r="K73" s="77" t="s">
        <v>189</v>
      </c>
      <c r="M73" s="29"/>
      <c r="N73"/>
    </row>
    <row r="74" spans="2:14" ht="14.25" outlineLevel="1" x14ac:dyDescent="0.45">
      <c r="N74"/>
    </row>
    <row r="75" spans="2:14" outlineLevel="1" x14ac:dyDescent="0.35">
      <c r="B75" s="30" t="s">
        <v>54</v>
      </c>
      <c r="C75" s="30" t="s">
        <v>55</v>
      </c>
      <c r="D75" s="30" t="s">
        <v>56</v>
      </c>
      <c r="E75" s="30" t="s">
        <v>57</v>
      </c>
      <c r="F75" s="30" t="s">
        <v>39</v>
      </c>
      <c r="G75" s="31" t="s">
        <v>58</v>
      </c>
      <c r="H75" s="31" t="s">
        <v>59</v>
      </c>
      <c r="I75" s="32" t="s">
        <v>181</v>
      </c>
      <c r="J75" s="32" t="s">
        <v>182</v>
      </c>
      <c r="L75" s="30" t="s">
        <v>60</v>
      </c>
      <c r="M75" s="30" t="s">
        <v>61</v>
      </c>
      <c r="N75" s="30" t="s">
        <v>180</v>
      </c>
    </row>
    <row r="76" spans="2:14" outlineLevel="1" x14ac:dyDescent="0.35">
      <c r="B76" s="33" t="s">
        <v>18</v>
      </c>
      <c r="C76" s="34">
        <v>19784.182767269998</v>
      </c>
      <c r="D76" s="34">
        <v>21237.925348559998</v>
      </c>
      <c r="E76" s="35">
        <v>7.3480042031101922E-2</v>
      </c>
      <c r="F76" s="35">
        <f>(E76+1)^(1/6)-1</f>
        <v>1.1887728450826085E-2</v>
      </c>
      <c r="G76" s="36">
        <f>QUARTILE(E77:E86,1)</f>
        <v>7.3199710040350918E-2</v>
      </c>
      <c r="H76" s="36">
        <f>AVERAGE(E77:E86)</f>
        <v>0.17282251713567881</v>
      </c>
      <c r="I76" s="37"/>
      <c r="J76" s="37"/>
      <c r="L76" s="38">
        <v>879318.56851934001</v>
      </c>
      <c r="M76" s="38">
        <v>1005001.2017428</v>
      </c>
      <c r="N76" s="38">
        <v>1239942.3061049001</v>
      </c>
    </row>
    <row r="77" spans="2:14" outlineLevel="1" x14ac:dyDescent="0.35">
      <c r="B77" s="4" t="s">
        <v>70</v>
      </c>
      <c r="C77" s="28">
        <v>14269.45251345</v>
      </c>
      <c r="D77" s="28">
        <v>14529.139964030001</v>
      </c>
      <c r="E77" s="39">
        <v>1.8198837715408311E-2</v>
      </c>
      <c r="F77" s="39">
        <f t="shared" ref="F77:F86" si="3">(E77+1)^(1/6)-1</f>
        <v>3.0103923203088634E-3</v>
      </c>
      <c r="G77" s="40">
        <f>(G76+1)^(1/6)-1</f>
        <v>1.1843682394916177E-2</v>
      </c>
      <c r="H77" s="40">
        <f>(H76+1)^(1/6)-1</f>
        <v>2.6924974528964363E-2</v>
      </c>
      <c r="I77" s="41">
        <f>$G77*$N80/$M80</f>
        <v>1.2422548448884957E-2</v>
      </c>
      <c r="J77" s="42">
        <f>$H77*$N80/$M80</f>
        <v>2.8240946474098732E-2</v>
      </c>
      <c r="L77" s="30"/>
      <c r="M77" s="30" t="s">
        <v>64</v>
      </c>
      <c r="N77" s="30" t="s">
        <v>186</v>
      </c>
    </row>
    <row r="78" spans="2:14" outlineLevel="1" x14ac:dyDescent="0.35">
      <c r="B78" s="4" t="s">
        <v>101</v>
      </c>
      <c r="C78" s="28">
        <v>11952.400219630001</v>
      </c>
      <c r="D78" s="28">
        <v>15203.989467400001</v>
      </c>
      <c r="E78" s="39">
        <v>0.27204487701388702</v>
      </c>
      <c r="F78" s="39">
        <f t="shared" si="3"/>
        <v>4.0919326870051176E-2</v>
      </c>
      <c r="I78" s="43">
        <f>D76*(1+I77)^9</f>
        <v>23733.859760011881</v>
      </c>
      <c r="J78" s="43">
        <f>D76*((1+J77)^9)</f>
        <v>27287.650157989861</v>
      </c>
      <c r="L78" s="44"/>
      <c r="M78" s="44">
        <v>0.14293185396402297</v>
      </c>
      <c r="N78" s="44">
        <v>0.23377196361027464</v>
      </c>
    </row>
    <row r="79" spans="2:14" outlineLevel="1" x14ac:dyDescent="0.35">
      <c r="B79" s="4" t="s">
        <v>74</v>
      </c>
      <c r="C79" s="28">
        <v>10494.787907649999</v>
      </c>
      <c r="D79" s="28">
        <v>11262.160308279999</v>
      </c>
      <c r="E79" s="39">
        <v>7.3119381485607482E-2</v>
      </c>
      <c r="F79" s="39">
        <f t="shared" si="3"/>
        <v>1.1831059320991821E-2</v>
      </c>
      <c r="I79" s="45">
        <f>I78/N76</f>
        <v>1.9141100068251062E-2</v>
      </c>
      <c r="J79" s="45">
        <f>J78/N76</f>
        <v>2.2007193418305145E-2</v>
      </c>
      <c r="L79" s="30"/>
      <c r="M79" s="30" t="s">
        <v>68</v>
      </c>
      <c r="N79" s="30" t="s">
        <v>243</v>
      </c>
    </row>
    <row r="80" spans="2:14" outlineLevel="1" x14ac:dyDescent="0.35">
      <c r="B80" s="4" t="s">
        <v>111</v>
      </c>
      <c r="C80" s="28">
        <v>8310.4235659499991</v>
      </c>
      <c r="D80" s="28">
        <v>11182.56673629</v>
      </c>
      <c r="E80" s="39">
        <v>0.34560731442232751</v>
      </c>
      <c r="F80" s="39">
        <f t="shared" si="3"/>
        <v>5.0718526412804499E-2</v>
      </c>
      <c r="I80" s="46" t="s">
        <v>71</v>
      </c>
      <c r="J80" s="46"/>
      <c r="M80" s="47">
        <v>2.2515867465141115E-2</v>
      </c>
      <c r="N80" s="47">
        <v>2.3616342040246652E-2</v>
      </c>
    </row>
    <row r="81" spans="2:15" ht="14.25" outlineLevel="1" x14ac:dyDescent="0.45">
      <c r="B81" s="4" t="s">
        <v>112</v>
      </c>
      <c r="C81" s="28">
        <v>6774.2761643699996</v>
      </c>
      <c r="D81" s="28">
        <v>8572.7438196200001</v>
      </c>
      <c r="E81" s="39">
        <v>0.26548484467008082</v>
      </c>
      <c r="F81" s="39">
        <f t="shared" si="3"/>
        <v>4.0022714930903813E-2</v>
      </c>
      <c r="I81" s="48">
        <f>D76</f>
        <v>21237.925348559998</v>
      </c>
      <c r="J81" s="49"/>
      <c r="N81"/>
    </row>
    <row r="82" spans="2:15" ht="14.25" outlineLevel="1" x14ac:dyDescent="0.45">
      <c r="B82" s="4" t="s">
        <v>106</v>
      </c>
      <c r="C82" s="28">
        <v>6573.40245168</v>
      </c>
      <c r="D82" s="28">
        <v>8267.2927805800009</v>
      </c>
      <c r="E82" s="39">
        <v>0.25768851692126105</v>
      </c>
      <c r="F82" s="39">
        <f t="shared" si="3"/>
        <v>3.8952077768044324E-2</v>
      </c>
      <c r="I82" s="50">
        <f>I81/M76</f>
        <v>2.1132238759247982E-2</v>
      </c>
      <c r="J82" s="50"/>
      <c r="N82"/>
    </row>
    <row r="83" spans="2:15" ht="14.25" outlineLevel="1" x14ac:dyDescent="0.45">
      <c r="B83" s="4" t="s">
        <v>108</v>
      </c>
      <c r="C83" s="28">
        <v>5966.7102625699999</v>
      </c>
      <c r="D83" s="28">
        <v>7313.2170023899998</v>
      </c>
      <c r="E83" s="39">
        <v>0.2256698717661596</v>
      </c>
      <c r="F83" s="39">
        <f t="shared" si="3"/>
        <v>3.4496244670343845E-2</v>
      </c>
      <c r="I83" s="63"/>
      <c r="J83" s="46"/>
      <c r="N83"/>
    </row>
    <row r="84" spans="2:15" outlineLevel="1" x14ac:dyDescent="0.35">
      <c r="B84" s="4" t="s">
        <v>113</v>
      </c>
      <c r="C84" s="28">
        <v>5045.0732713699999</v>
      </c>
      <c r="D84" s="28">
        <v>5415.5869622999999</v>
      </c>
      <c r="E84" s="39">
        <v>7.3440695704581227E-2</v>
      </c>
      <c r="F84" s="39">
        <f t="shared" si="3"/>
        <v>1.1881546893109718E-2</v>
      </c>
      <c r="N84" s="64"/>
      <c r="O84" s="64"/>
    </row>
    <row r="85" spans="2:15" ht="14.25" outlineLevel="1" x14ac:dyDescent="0.45">
      <c r="B85" s="4" t="s">
        <v>73</v>
      </c>
      <c r="C85" s="28">
        <v>4913.2670073199997</v>
      </c>
      <c r="D85" s="28">
        <v>5243.54709078</v>
      </c>
      <c r="E85" s="39">
        <v>6.7222091322929334E-2</v>
      </c>
      <c r="F85" s="39">
        <f t="shared" si="3"/>
        <v>1.0902183068342897E-2</v>
      </c>
      <c r="N85"/>
    </row>
    <row r="86" spans="2:15" outlineLevel="1" x14ac:dyDescent="0.35">
      <c r="B86" s="4" t="s">
        <v>72</v>
      </c>
      <c r="C86" s="28">
        <v>3972.49513445</v>
      </c>
      <c r="D86" s="28">
        <v>4487.92137413</v>
      </c>
      <c r="E86" s="39">
        <v>0.12974874033454586</v>
      </c>
      <c r="F86" s="39">
        <f t="shared" si="3"/>
        <v>2.0540656629637333E-2</v>
      </c>
      <c r="N86" s="64"/>
    </row>
    <row r="87" spans="2:15" ht="12.5" customHeight="1" x14ac:dyDescent="0.35">
      <c r="K87" s="77"/>
      <c r="M87" s="29"/>
      <c r="N87" s="64"/>
    </row>
    <row r="88" spans="2:15" ht="14.25" x14ac:dyDescent="0.45">
      <c r="B88" s="27" t="s">
        <v>53</v>
      </c>
      <c r="M88" s="29"/>
      <c r="N88"/>
    </row>
    <row r="89" spans="2:15" ht="14.25" outlineLevel="1" x14ac:dyDescent="0.45">
      <c r="I89" s="39"/>
      <c r="J89" s="39"/>
      <c r="N89"/>
    </row>
    <row r="90" spans="2:15" outlineLevel="1" x14ac:dyDescent="0.35">
      <c r="B90" s="30" t="s">
        <v>54</v>
      </c>
      <c r="C90" s="30" t="s">
        <v>55</v>
      </c>
      <c r="D90" s="30" t="s">
        <v>56</v>
      </c>
      <c r="E90" s="30" t="s">
        <v>57</v>
      </c>
      <c r="F90" s="30" t="s">
        <v>39</v>
      </c>
      <c r="G90" s="31" t="s">
        <v>58</v>
      </c>
      <c r="H90" s="31" t="s">
        <v>59</v>
      </c>
      <c r="I90" s="32" t="s">
        <v>181</v>
      </c>
      <c r="J90" s="32" t="s">
        <v>182</v>
      </c>
      <c r="L90" s="30" t="s">
        <v>60</v>
      </c>
      <c r="M90" s="30" t="s">
        <v>61</v>
      </c>
      <c r="N90" s="30" t="s">
        <v>180</v>
      </c>
    </row>
    <row r="91" spans="2:15" outlineLevel="1" x14ac:dyDescent="0.35">
      <c r="B91" s="33" t="s">
        <v>18</v>
      </c>
      <c r="C91" s="34">
        <v>13623.34599752</v>
      </c>
      <c r="D91" s="34">
        <v>14090.01815631</v>
      </c>
      <c r="E91" s="35">
        <v>3.4255326031868538E-2</v>
      </c>
      <c r="F91" s="35">
        <f>(E91+1)^(1/6)-1</f>
        <v>5.6293985153554882E-3</v>
      </c>
      <c r="G91" s="36">
        <f>QUARTILE(E92:E101,1)</f>
        <v>7.1091239335062728E-2</v>
      </c>
      <c r="H91" s="36">
        <f>AVERAGE(E92:E101)</f>
        <v>0.16244209084726383</v>
      </c>
      <c r="I91" s="37"/>
      <c r="J91" s="37"/>
      <c r="L91" s="38">
        <v>998112.69506527996</v>
      </c>
      <c r="M91" s="38">
        <v>1222762.5215087</v>
      </c>
      <c r="N91" s="38">
        <v>1535191.1704035001</v>
      </c>
    </row>
    <row r="92" spans="2:15" outlineLevel="1" x14ac:dyDescent="0.35">
      <c r="B92" s="4" t="s">
        <v>63</v>
      </c>
      <c r="C92" s="28">
        <v>11639.42094443</v>
      </c>
      <c r="D92" s="28">
        <v>12365.606797689999</v>
      </c>
      <c r="E92" s="39">
        <v>6.2390204523663506E-2</v>
      </c>
      <c r="F92" s="39">
        <f t="shared" ref="F92:F101" si="4">(E92+1)^(1/6)-1</f>
        <v>1.0137923980362062E-2</v>
      </c>
      <c r="G92" s="40">
        <f>(G91+1)^(1/6)-1</f>
        <v>1.151208966727757E-2</v>
      </c>
      <c r="H92" s="40">
        <f>(H91+1)^(1/6)-1</f>
        <v>2.5404505055045101E-2</v>
      </c>
      <c r="I92" s="268">
        <f>$G92*$N95/$M95</f>
        <v>8.5656272878374892E-3</v>
      </c>
      <c r="J92" s="269">
        <f>$H92*$N95/$M95</f>
        <v>1.8902347707734638E-2</v>
      </c>
      <c r="L92" s="30"/>
      <c r="M92" s="30" t="s">
        <v>64</v>
      </c>
      <c r="N92" s="30" t="s">
        <v>186</v>
      </c>
    </row>
    <row r="93" spans="2:15" outlineLevel="1" x14ac:dyDescent="0.35">
      <c r="B93" s="4" t="s">
        <v>66</v>
      </c>
      <c r="C93" s="28">
        <v>11561.572216459999</v>
      </c>
      <c r="D93" s="28">
        <v>17509.209972820001</v>
      </c>
      <c r="E93" s="39">
        <v>0.51443157081114443</v>
      </c>
      <c r="F93" s="39">
        <f t="shared" si="4"/>
        <v>7.1621970818761982E-2</v>
      </c>
      <c r="I93" s="43">
        <f>D91*(1+I92)^9</f>
        <v>15214.19644446179</v>
      </c>
      <c r="J93" s="43">
        <f>D91*(1+J92)^9</f>
        <v>16676.488912097779</v>
      </c>
      <c r="L93" s="44"/>
      <c r="M93" s="44">
        <f>M91/L91-1</f>
        <v>0.22507461086718994</v>
      </c>
      <c r="N93" s="44">
        <v>0.25551048825843248</v>
      </c>
    </row>
    <row r="94" spans="2:15" outlineLevel="1" x14ac:dyDescent="0.35">
      <c r="B94" s="4" t="s">
        <v>67</v>
      </c>
      <c r="C94" s="28">
        <v>11285.365378160001</v>
      </c>
      <c r="D94" s="28">
        <v>11699.09984162</v>
      </c>
      <c r="E94" s="39">
        <v>3.6661149160547302E-2</v>
      </c>
      <c r="F94" s="39">
        <f t="shared" si="4"/>
        <v>6.0188937109122431E-3</v>
      </c>
      <c r="I94" s="45">
        <f>I93/N91</f>
        <v>9.9102943905435472E-3</v>
      </c>
      <c r="J94" s="45">
        <f>J93/N91</f>
        <v>1.0862809292809203E-2</v>
      </c>
      <c r="L94" s="30"/>
      <c r="M94" s="30" t="s">
        <v>68</v>
      </c>
      <c r="N94" s="30" t="s">
        <v>186</v>
      </c>
    </row>
    <row r="95" spans="2:15" outlineLevel="1" x14ac:dyDescent="0.35">
      <c r="B95" s="4" t="s">
        <v>70</v>
      </c>
      <c r="C95" s="28">
        <v>10772.82026316</v>
      </c>
      <c r="D95" s="28">
        <v>12260.59390403</v>
      </c>
      <c r="E95" s="39">
        <v>0.13810437791835861</v>
      </c>
      <c r="F95" s="39">
        <f t="shared" si="4"/>
        <v>2.1794786193883198E-2</v>
      </c>
      <c r="I95" s="46" t="s">
        <v>183</v>
      </c>
      <c r="J95" s="46"/>
      <c r="M95" s="47">
        <f>(M91/L91)^(1/6)-1</f>
        <v>3.441249185518469E-2</v>
      </c>
      <c r="N95" s="47">
        <v>2.5604784865002062E-2</v>
      </c>
    </row>
    <row r="96" spans="2:15" ht="14.25" outlineLevel="1" x14ac:dyDescent="0.45">
      <c r="B96" s="4" t="s">
        <v>72</v>
      </c>
      <c r="C96" s="28">
        <v>9647.2481167599999</v>
      </c>
      <c r="D96" s="28">
        <v>11989.377056400001</v>
      </c>
      <c r="E96" s="39">
        <v>0.24277689464325691</v>
      </c>
      <c r="F96" s="39">
        <f t="shared" si="4"/>
        <v>3.6888827721856643E-2</v>
      </c>
      <c r="I96" s="48">
        <f>D91</f>
        <v>14090.01815631</v>
      </c>
      <c r="J96" s="49"/>
      <c r="M96" s="47"/>
      <c r="N96"/>
    </row>
    <row r="97" spans="2:14" ht="14.25" outlineLevel="1" x14ac:dyDescent="0.45">
      <c r="B97" s="4" t="s">
        <v>73</v>
      </c>
      <c r="C97" s="28">
        <v>9584.4468993400005</v>
      </c>
      <c r="D97" s="28">
        <v>11260.640609120001</v>
      </c>
      <c r="E97" s="39">
        <v>0.17488684818061073</v>
      </c>
      <c r="F97" s="39">
        <f t="shared" si="4"/>
        <v>2.7226009001928952E-2</v>
      </c>
      <c r="I97" s="50">
        <f>I96/M91</f>
        <v>1.1523102735374236E-2</v>
      </c>
      <c r="J97" s="50"/>
      <c r="N97"/>
    </row>
    <row r="98" spans="2:14" ht="14.25" outlineLevel="1" x14ac:dyDescent="0.45">
      <c r="B98" s="4" t="s">
        <v>74</v>
      </c>
      <c r="C98" s="28">
        <v>8535.2845787799997</v>
      </c>
      <c r="D98" s="28">
        <v>9847.6276320399993</v>
      </c>
      <c r="E98" s="39">
        <v>0.15375504368333326</v>
      </c>
      <c r="F98" s="39">
        <f t="shared" si="4"/>
        <v>2.4123351416592609E-2</v>
      </c>
      <c r="N98"/>
    </row>
    <row r="99" spans="2:14" ht="14.25" outlineLevel="1" x14ac:dyDescent="0.45">
      <c r="B99" s="4" t="s">
        <v>75</v>
      </c>
      <c r="C99" s="28">
        <v>8402.4572535700008</v>
      </c>
      <c r="D99" s="28">
        <v>9219.1285723799992</v>
      </c>
      <c r="E99" s="39">
        <v>9.7194343769260394E-2</v>
      </c>
      <c r="F99" s="39">
        <f t="shared" si="4"/>
        <v>1.5579501984338329E-2</v>
      </c>
      <c r="N99"/>
    </row>
    <row r="100" spans="2:14" ht="14.25" outlineLevel="1" x14ac:dyDescent="0.45">
      <c r="B100" s="4" t="s">
        <v>76</v>
      </c>
      <c r="C100" s="28">
        <v>18983.06053223</v>
      </c>
      <c r="D100" s="28">
        <v>20152.225242690001</v>
      </c>
      <c r="E100" s="39">
        <v>6.1589895289801078E-2</v>
      </c>
      <c r="F100" s="39">
        <f t="shared" si="4"/>
        <v>1.001105964361515E-2</v>
      </c>
      <c r="H100" s="72"/>
      <c r="N100"/>
    </row>
    <row r="101" spans="2:14" ht="14.25" outlineLevel="1" x14ac:dyDescent="0.45">
      <c r="B101" s="4" t="s">
        <v>77</v>
      </c>
      <c r="C101" s="28">
        <v>7665.7771330899996</v>
      </c>
      <c r="D101" s="28">
        <v>8759.1513755100004</v>
      </c>
      <c r="E101" s="39">
        <v>0.14263058049266197</v>
      </c>
      <c r="F101" s="39">
        <f t="shared" si="4"/>
        <v>2.2470940501818193E-2</v>
      </c>
      <c r="L101" s="51"/>
      <c r="N101"/>
    </row>
    <row r="103" spans="2:14" ht="14.25" x14ac:dyDescent="0.45">
      <c r="B103" s="27" t="s">
        <v>114</v>
      </c>
      <c r="M103" s="29"/>
      <c r="N103"/>
    </row>
    <row r="104" spans="2:14" ht="14.25" outlineLevel="1" x14ac:dyDescent="0.45">
      <c r="N104"/>
    </row>
    <row r="105" spans="2:14" outlineLevel="1" x14ac:dyDescent="0.35">
      <c r="B105" s="30" t="s">
        <v>54</v>
      </c>
      <c r="C105" s="30" t="s">
        <v>55</v>
      </c>
      <c r="D105" s="30" t="s">
        <v>56</v>
      </c>
      <c r="E105" s="30" t="s">
        <v>57</v>
      </c>
      <c r="F105" s="30" t="s">
        <v>39</v>
      </c>
      <c r="G105" s="31" t="s">
        <v>58</v>
      </c>
      <c r="H105" s="31" t="s">
        <v>59</v>
      </c>
      <c r="I105" s="32" t="s">
        <v>181</v>
      </c>
      <c r="J105" s="32" t="s">
        <v>182</v>
      </c>
      <c r="L105" s="30" t="s">
        <v>60</v>
      </c>
      <c r="M105" s="30" t="s">
        <v>61</v>
      </c>
      <c r="N105" s="30" t="s">
        <v>180</v>
      </c>
    </row>
    <row r="106" spans="2:14" outlineLevel="1" x14ac:dyDescent="0.35">
      <c r="B106" s="33" t="s">
        <v>18</v>
      </c>
      <c r="C106" s="34">
        <v>8596.9176595699992</v>
      </c>
      <c r="D106" s="34">
        <v>7914.0344711799999</v>
      </c>
      <c r="E106" s="35">
        <v>-7.9433491796890854E-2</v>
      </c>
      <c r="F106" s="35">
        <f>(E106+1)^(1/6)-1</f>
        <v>-1.3699632196883416E-2</v>
      </c>
      <c r="G106" s="36">
        <f>QUARTILE(E107:E116,1)</f>
        <v>0.1527658929671758</v>
      </c>
      <c r="H106" s="36">
        <f>AVERAGE(E107:E116)</f>
        <v>0.26584649837686636</v>
      </c>
      <c r="I106" s="37"/>
      <c r="J106" s="37"/>
      <c r="L106" s="38">
        <v>550223.83760542003</v>
      </c>
      <c r="M106" s="38">
        <v>739587.33472974005</v>
      </c>
      <c r="N106" s="38">
        <v>1130386.8400522999</v>
      </c>
    </row>
    <row r="107" spans="2:14" outlineLevel="1" x14ac:dyDescent="0.35">
      <c r="B107" s="4" t="s">
        <v>75</v>
      </c>
      <c r="C107" s="28">
        <v>6689.2608577600004</v>
      </c>
      <c r="D107" s="28">
        <v>7534.5558912099996</v>
      </c>
      <c r="E107" s="39">
        <v>0.12636598443748825</v>
      </c>
      <c r="F107" s="39">
        <f t="shared" ref="F107:F116" si="5">(E107+1)^(1/6)-1</f>
        <v>2.0030726894072926E-2</v>
      </c>
      <c r="G107" s="40">
        <f>(G106+1)^(1/6)-1</f>
        <v>2.3976963554403596E-2</v>
      </c>
      <c r="H107" s="40">
        <f>(H106+1)^(1/6)-1</f>
        <v>4.0072245787466265E-2</v>
      </c>
      <c r="I107" s="41">
        <f>$G107*$N110/$M110</f>
        <v>2.2902053106210012E-2</v>
      </c>
      <c r="J107" s="42">
        <f>$H107*$N110/$M110</f>
        <v>3.8275768281805719E-2</v>
      </c>
      <c r="L107" s="30"/>
      <c r="M107" s="30" t="s">
        <v>64</v>
      </c>
      <c r="N107" s="30" t="s">
        <v>186</v>
      </c>
    </row>
    <row r="108" spans="2:14" outlineLevel="1" x14ac:dyDescent="0.35">
      <c r="B108" s="4" t="s">
        <v>76</v>
      </c>
      <c r="C108" s="28">
        <v>5540.1205353599998</v>
      </c>
      <c r="D108" s="28">
        <v>6185.6390057299996</v>
      </c>
      <c r="E108" s="39">
        <v>0.1165170443946042</v>
      </c>
      <c r="F108" s="39">
        <f t="shared" si="5"/>
        <v>1.8538757715995002E-2</v>
      </c>
      <c r="I108" s="43">
        <f>D106*(1+I107)^9</f>
        <v>9702.9633346171504</v>
      </c>
      <c r="J108" s="43">
        <f>D106*(1+J107)^9</f>
        <v>11097.174188245073</v>
      </c>
      <c r="L108" s="44"/>
      <c r="M108" s="44">
        <v>0.34415720327282062</v>
      </c>
      <c r="N108" s="44">
        <v>0.52840210610876093</v>
      </c>
    </row>
    <row r="109" spans="2:14" outlineLevel="1" x14ac:dyDescent="0.35">
      <c r="B109" s="4" t="s">
        <v>72</v>
      </c>
      <c r="C109" s="28">
        <v>5260.2476380300004</v>
      </c>
      <c r="D109" s="28">
        <v>6440.2840800499998</v>
      </c>
      <c r="E109" s="39">
        <v>0.22433096751732617</v>
      </c>
      <c r="F109" s="39">
        <f t="shared" si="5"/>
        <v>3.4307814067387588E-2</v>
      </c>
      <c r="I109" s="45">
        <f>I108/N106</f>
        <v>8.5837546854032921E-3</v>
      </c>
      <c r="J109" s="45">
        <f>J108/N106</f>
        <v>9.8171473649955425E-3</v>
      </c>
      <c r="L109" s="30"/>
      <c r="M109" s="30" t="s">
        <v>68</v>
      </c>
      <c r="N109" s="30" t="s">
        <v>186</v>
      </c>
    </row>
    <row r="110" spans="2:14" outlineLevel="1" x14ac:dyDescent="0.35">
      <c r="B110" s="4" t="s">
        <v>73</v>
      </c>
      <c r="C110" s="28">
        <v>5259.5655513800002</v>
      </c>
      <c r="D110" s="28">
        <v>6374.6856817099997</v>
      </c>
      <c r="E110" s="39">
        <v>0.2120175363224468</v>
      </c>
      <c r="F110" s="39">
        <f t="shared" si="5"/>
        <v>3.2566784489879375E-2</v>
      </c>
      <c r="I110" s="46" t="s">
        <v>71</v>
      </c>
      <c r="J110" s="46"/>
      <c r="M110" s="47">
        <v>5.0529721545363948E-2</v>
      </c>
      <c r="N110" s="47">
        <v>4.8264425295061697E-2</v>
      </c>
    </row>
    <row r="111" spans="2:14" ht="14.25" outlineLevel="1" x14ac:dyDescent="0.45">
      <c r="B111" s="4" t="s">
        <v>101</v>
      </c>
      <c r="C111" s="28">
        <v>12124.36184872</v>
      </c>
      <c r="D111" s="28">
        <v>13737.088025139999</v>
      </c>
      <c r="E111" s="39">
        <v>0.13301534518208546</v>
      </c>
      <c r="F111" s="39">
        <f t="shared" si="5"/>
        <v>2.1031871133078361E-2</v>
      </c>
      <c r="I111" s="48">
        <f>D106</f>
        <v>7914.0344711799999</v>
      </c>
      <c r="J111" s="49"/>
      <c r="N111"/>
    </row>
    <row r="112" spans="2:14" ht="14.25" outlineLevel="1" x14ac:dyDescent="0.45">
      <c r="B112" s="4" t="s">
        <v>108</v>
      </c>
      <c r="C112" s="28">
        <v>4396.4870809599997</v>
      </c>
      <c r="D112" s="28">
        <v>5596.5194584199999</v>
      </c>
      <c r="E112" s="39">
        <v>0.27295255401909779</v>
      </c>
      <c r="F112" s="39">
        <f t="shared" si="5"/>
        <v>4.10430826912902E-2</v>
      </c>
      <c r="I112" s="50">
        <f>I111/M106</f>
        <v>1.0700608433312268E-2</v>
      </c>
      <c r="J112" s="50"/>
      <c r="N112"/>
    </row>
    <row r="113" spans="2:14" ht="14.25" outlineLevel="1" x14ac:dyDescent="0.45">
      <c r="B113" s="4" t="s">
        <v>77</v>
      </c>
      <c r="C113" s="28">
        <v>4004.3651102700001</v>
      </c>
      <c r="D113" s="28">
        <v>5075.3655449799999</v>
      </c>
      <c r="E113" s="39">
        <v>0.26745823750267017</v>
      </c>
      <c r="F113" s="39">
        <f t="shared" si="5"/>
        <v>4.0292840793819673E-2</v>
      </c>
      <c r="N113"/>
    </row>
    <row r="114" spans="2:14" ht="14.25" outlineLevel="1" x14ac:dyDescent="0.45">
      <c r="B114" s="4" t="s">
        <v>111</v>
      </c>
      <c r="C114" s="28">
        <v>3593.9968155299998</v>
      </c>
      <c r="D114" s="28">
        <v>4595.6493382600001</v>
      </c>
      <c r="E114" s="39">
        <v>0.27870156100355037</v>
      </c>
      <c r="F114" s="39">
        <f t="shared" si="5"/>
        <v>4.1825218747079784E-2</v>
      </c>
      <c r="N114"/>
    </row>
    <row r="115" spans="2:14" ht="14.25" outlineLevel="1" x14ac:dyDescent="0.45">
      <c r="B115" s="4" t="s">
        <v>112</v>
      </c>
      <c r="C115" s="28">
        <v>3158.4352047500001</v>
      </c>
      <c r="D115" s="28">
        <v>5628.9724057499998</v>
      </c>
      <c r="E115" s="39">
        <v>0.78220290771978984</v>
      </c>
      <c r="F115" s="39">
        <f t="shared" si="5"/>
        <v>0.10109855148640312</v>
      </c>
      <c r="N115"/>
    </row>
    <row r="116" spans="2:14" ht="14.25" outlineLevel="1" x14ac:dyDescent="0.45">
      <c r="B116" s="4" t="s">
        <v>66</v>
      </c>
      <c r="C116" s="28">
        <v>3026.87816131</v>
      </c>
      <c r="D116" s="28">
        <v>3768.1692365099998</v>
      </c>
      <c r="E116" s="39">
        <v>0.24490284566960474</v>
      </c>
      <c r="F116" s="39">
        <f t="shared" si="5"/>
        <v>3.7184242142488388E-2</v>
      </c>
      <c r="L116" s="51"/>
      <c r="N116"/>
    </row>
    <row r="118" spans="2:14" ht="14.25" x14ac:dyDescent="0.45">
      <c r="B118" s="27" t="s">
        <v>115</v>
      </c>
      <c r="M118" s="65"/>
      <c r="N118"/>
    </row>
    <row r="119" spans="2:14" ht="14.25" outlineLevel="1" x14ac:dyDescent="0.45">
      <c r="N119"/>
    </row>
    <row r="120" spans="2:14" outlineLevel="1" x14ac:dyDescent="0.35">
      <c r="B120" s="30" t="s">
        <v>54</v>
      </c>
      <c r="C120" s="30" t="s">
        <v>55</v>
      </c>
      <c r="D120" s="30" t="s">
        <v>56</v>
      </c>
      <c r="E120" s="30" t="s">
        <v>57</v>
      </c>
      <c r="F120" s="62" t="s">
        <v>39</v>
      </c>
      <c r="G120" s="31" t="s">
        <v>58</v>
      </c>
      <c r="H120" s="31" t="s">
        <v>59</v>
      </c>
      <c r="I120" s="32" t="s">
        <v>181</v>
      </c>
      <c r="J120" s="32" t="s">
        <v>182</v>
      </c>
      <c r="L120" s="30" t="s">
        <v>60</v>
      </c>
      <c r="M120" s="30" t="s">
        <v>61</v>
      </c>
      <c r="N120" s="30" t="s">
        <v>180</v>
      </c>
    </row>
    <row r="121" spans="2:14" outlineLevel="1" x14ac:dyDescent="0.35">
      <c r="B121" s="33" t="s">
        <v>18</v>
      </c>
      <c r="C121" s="34">
        <v>8836.8574560199995</v>
      </c>
      <c r="D121" s="34">
        <v>8316.0853678900003</v>
      </c>
      <c r="E121" s="35">
        <v>-5.8931819452992307E-2</v>
      </c>
      <c r="F121" s="66">
        <f>(E121+1)^(1/6)-1</f>
        <v>-1.0072213161012922E-2</v>
      </c>
      <c r="G121" s="36">
        <f>QUARTILE(E122:E131,1)</f>
        <v>9.8696030810905944E-2</v>
      </c>
      <c r="H121" s="36">
        <f>AVERAGE(E122:E131)</f>
        <v>0.38093441524706034</v>
      </c>
      <c r="I121" s="37"/>
      <c r="J121" s="37"/>
      <c r="L121" s="38">
        <v>567267.84838462004</v>
      </c>
      <c r="M121" s="38">
        <v>788072.98515381</v>
      </c>
      <c r="N121" s="38">
        <v>1025439.0043086</v>
      </c>
    </row>
    <row r="122" spans="2:14" outlineLevel="1" x14ac:dyDescent="0.35">
      <c r="B122" s="4" t="s">
        <v>116</v>
      </c>
      <c r="C122" s="28">
        <v>9151.8632171000008</v>
      </c>
      <c r="D122" s="28">
        <v>13912.6833924</v>
      </c>
      <c r="E122" s="39">
        <v>0.52020228694027471</v>
      </c>
      <c r="F122" s="60">
        <f>(E122+1)^(1/6)-1</f>
        <v>7.2301459053317085E-2</v>
      </c>
      <c r="G122" s="40">
        <f>(G121+1)^(1/6)-1</f>
        <v>1.5811033981717681E-2</v>
      </c>
      <c r="H122" s="40">
        <f>(H121+1)^(1/6)-1</f>
        <v>5.5266558488014317E-2</v>
      </c>
      <c r="I122" s="41">
        <f>$G122*$N125/$M125</f>
        <v>8.3612123430180964E-3</v>
      </c>
      <c r="J122" s="42">
        <f>$H122*$N125/$M125</f>
        <v>2.9226136097135608E-2</v>
      </c>
      <c r="L122" s="30"/>
      <c r="M122" s="30" t="s">
        <v>64</v>
      </c>
      <c r="N122" s="30" t="s">
        <v>186</v>
      </c>
    </row>
    <row r="123" spans="2:14" outlineLevel="1" x14ac:dyDescent="0.35">
      <c r="B123" s="4" t="s">
        <v>77</v>
      </c>
      <c r="C123" s="28">
        <v>8298.9085035700009</v>
      </c>
      <c r="D123" s="28">
        <v>8619.8904200500001</v>
      </c>
      <c r="E123" s="39">
        <v>3.8677606379431628E-2</v>
      </c>
      <c r="F123" s="60">
        <f>(E123+1)^(1/6)-1</f>
        <v>6.3447719537854663E-3</v>
      </c>
      <c r="G123" s="61">
        <f>QUARTILE(F122:F131,1)</f>
        <v>1.57528661224694E-2</v>
      </c>
      <c r="H123" s="67">
        <f>AVERAGE(F122:F131)</f>
        <v>5.0509838155468278E-2</v>
      </c>
      <c r="I123" s="43">
        <f>D121*(1+I122)^9</f>
        <v>8963.2214103550159</v>
      </c>
      <c r="J123" s="43">
        <f>D121*(1+J122)^9</f>
        <v>10777.454399522598</v>
      </c>
      <c r="L123" s="44"/>
      <c r="M123" s="44">
        <v>0.38924317215926396</v>
      </c>
      <c r="N123" s="44">
        <v>0.30119801544581892</v>
      </c>
    </row>
    <row r="124" spans="2:14" outlineLevel="1" x14ac:dyDescent="0.35">
      <c r="B124" s="4" t="s">
        <v>101</v>
      </c>
      <c r="C124" s="28">
        <v>10333.6586458</v>
      </c>
      <c r="D124" s="28">
        <v>11163.44375215</v>
      </c>
      <c r="E124" s="39">
        <v>8.029925651620573E-2</v>
      </c>
      <c r="F124" s="60">
        <f t="shared" ref="F124:F131" si="6">(E124+1)^(1/6)-1</f>
        <v>1.2956229303723976E-2</v>
      </c>
      <c r="I124" s="45">
        <f>I123/$N$121</f>
        <v>8.7408625697814653E-3</v>
      </c>
      <c r="J124" s="45">
        <f>J123/$N$121</f>
        <v>1.0510088220009997E-2</v>
      </c>
      <c r="L124" s="30"/>
      <c r="M124" s="30" t="s">
        <v>117</v>
      </c>
      <c r="N124" s="30" t="s">
        <v>243</v>
      </c>
    </row>
    <row r="125" spans="2:14" outlineLevel="1" x14ac:dyDescent="0.35">
      <c r="B125" s="4" t="s">
        <v>118</v>
      </c>
      <c r="C125" s="28">
        <v>7330.0055890599997</v>
      </c>
      <c r="D125" s="28">
        <v>16945.699567780001</v>
      </c>
      <c r="E125" s="39">
        <v>1.3118262819705597</v>
      </c>
      <c r="F125" s="60">
        <f>(E125+1)^(1/6)-1</f>
        <v>0.14989768448631935</v>
      </c>
      <c r="I125" s="46" t="s">
        <v>71</v>
      </c>
      <c r="J125" s="46"/>
      <c r="M125" s="47">
        <v>5.6322130300681117E-2</v>
      </c>
      <c r="N125" s="47">
        <v>2.9784345008660118E-2</v>
      </c>
    </row>
    <row r="126" spans="2:14" ht="14.25" outlineLevel="1" x14ac:dyDescent="0.45">
      <c r="B126" s="4" t="s">
        <v>70</v>
      </c>
      <c r="C126" s="28">
        <v>10482.81183871</v>
      </c>
      <c r="D126" s="28">
        <v>18039.268460399999</v>
      </c>
      <c r="E126" s="39">
        <v>0.72084253136989296</v>
      </c>
      <c r="F126" s="60">
        <f t="shared" si="6"/>
        <v>9.4687574484863424E-2</v>
      </c>
      <c r="I126" s="48">
        <f>D121</f>
        <v>8316.0853678900003</v>
      </c>
      <c r="J126" s="49"/>
      <c r="N126"/>
    </row>
    <row r="127" spans="2:14" ht="14.25" outlineLevel="1" x14ac:dyDescent="0.45">
      <c r="B127" s="4" t="s">
        <v>104</v>
      </c>
      <c r="C127" s="28">
        <v>6087.0801522000002</v>
      </c>
      <c r="D127" s="28">
        <v>8824.4976391399996</v>
      </c>
      <c r="E127" s="39">
        <v>0.44970945321799949</v>
      </c>
      <c r="F127" s="60">
        <f t="shared" si="6"/>
        <v>6.3849421627065084E-2</v>
      </c>
      <c r="I127" s="50">
        <f>I126/M121</f>
        <v>1.0552430453211045E-2</v>
      </c>
      <c r="J127" s="50"/>
      <c r="N127"/>
    </row>
    <row r="128" spans="2:14" ht="14.25" outlineLevel="1" x14ac:dyDescent="0.45">
      <c r="B128" s="4" t="s">
        <v>74</v>
      </c>
      <c r="C128" s="28">
        <v>5909.3978853899998</v>
      </c>
      <c r="D128" s="28">
        <v>6040.1121167700003</v>
      </c>
      <c r="E128" s="39">
        <v>2.2119720809994803E-2</v>
      </c>
      <c r="F128" s="60">
        <f t="shared" si="6"/>
        <v>3.653094438651916E-3</v>
      </c>
      <c r="N128"/>
    </row>
    <row r="129" spans="2:14" ht="14.25" outlineLevel="1" x14ac:dyDescent="0.45">
      <c r="B129" s="4" t="s">
        <v>97</v>
      </c>
      <c r="C129" s="28">
        <v>11795.908806019999</v>
      </c>
      <c r="D129" s="28">
        <v>15281.238281489999</v>
      </c>
      <c r="E129" s="39">
        <v>0.29546934727837804</v>
      </c>
      <c r="F129" s="60">
        <f t="shared" si="6"/>
        <v>4.4089809274687752E-2</v>
      </c>
      <c r="N129"/>
    </row>
    <row r="130" spans="2:14" ht="14.25" outlineLevel="1" x14ac:dyDescent="0.45">
      <c r="B130" s="4" t="s">
        <v>63</v>
      </c>
      <c r="C130" s="28">
        <v>3618.02331366</v>
      </c>
      <c r="D130" s="28">
        <v>4400.64269178</v>
      </c>
      <c r="E130" s="39">
        <v>0.21631131429285921</v>
      </c>
      <c r="F130" s="60">
        <f t="shared" si="6"/>
        <v>3.3175560353563061E-2</v>
      </c>
      <c r="N130"/>
    </row>
    <row r="131" spans="2:14" ht="14.25" outlineLevel="1" x14ac:dyDescent="0.45">
      <c r="B131" s="4" t="s">
        <v>75</v>
      </c>
      <c r="C131" s="28">
        <v>3548.8291104899999</v>
      </c>
      <c r="D131" s="28">
        <v>4094.9454821899999</v>
      </c>
      <c r="E131" s="39">
        <v>0.15388635369500658</v>
      </c>
      <c r="F131" s="60">
        <f t="shared" si="6"/>
        <v>2.4142776578705671E-2</v>
      </c>
      <c r="N131"/>
    </row>
    <row r="132" spans="2:14" ht="14.25" x14ac:dyDescent="0.45">
      <c r="D132" s="28"/>
      <c r="E132" s="39"/>
      <c r="F132" s="60"/>
      <c r="N132"/>
    </row>
    <row r="133" spans="2:14" ht="14.25" x14ac:dyDescent="0.45">
      <c r="B133" s="27" t="s">
        <v>119</v>
      </c>
      <c r="M133" s="29"/>
      <c r="N133"/>
    </row>
    <row r="134" spans="2:14" ht="14.25" outlineLevel="1" x14ac:dyDescent="0.45">
      <c r="N134"/>
    </row>
    <row r="135" spans="2:14" outlineLevel="1" x14ac:dyDescent="0.35">
      <c r="B135" s="30" t="s">
        <v>54</v>
      </c>
      <c r="C135" s="30" t="s">
        <v>55</v>
      </c>
      <c r="D135" s="30" t="s">
        <v>56</v>
      </c>
      <c r="E135" s="30" t="s">
        <v>57</v>
      </c>
      <c r="F135" s="62" t="s">
        <v>39</v>
      </c>
      <c r="G135" s="31" t="s">
        <v>58</v>
      </c>
      <c r="H135" s="31" t="s">
        <v>59</v>
      </c>
      <c r="I135" s="32" t="s">
        <v>181</v>
      </c>
      <c r="J135" s="32" t="s">
        <v>182</v>
      </c>
      <c r="L135" s="30" t="s">
        <v>60</v>
      </c>
      <c r="M135" s="30" t="s">
        <v>61</v>
      </c>
      <c r="N135" s="30" t="s">
        <v>180</v>
      </c>
    </row>
    <row r="136" spans="2:14" outlineLevel="1" x14ac:dyDescent="0.35">
      <c r="B136" s="33" t="s">
        <v>18</v>
      </c>
      <c r="C136" s="34">
        <v>5788.2895820399999</v>
      </c>
      <c r="D136" s="34">
        <v>3835.61076761</v>
      </c>
      <c r="E136" s="35">
        <v>-0.33734988320017778</v>
      </c>
      <c r="F136" s="35">
        <f>(E136+1)^(1/6)-1</f>
        <v>-6.6285621911501336E-2</v>
      </c>
      <c r="G136" s="36">
        <f>QUARTILE(E137:E146,1)</f>
        <v>0.13918384708438197</v>
      </c>
      <c r="H136" s="36">
        <f>AVERAGE(E137:E146)</f>
        <v>0.32853683526125066</v>
      </c>
      <c r="I136" s="37"/>
      <c r="J136" s="37"/>
      <c r="L136" s="38">
        <v>398831.16785152</v>
      </c>
      <c r="M136" s="38">
        <v>425811.66829101997</v>
      </c>
      <c r="N136" s="38">
        <v>610314.86528306</v>
      </c>
    </row>
    <row r="137" spans="2:14" outlineLevel="1" x14ac:dyDescent="0.35">
      <c r="B137" s="4" t="s">
        <v>120</v>
      </c>
      <c r="C137" s="28">
        <v>5490.2310745499999</v>
      </c>
      <c r="D137" s="28">
        <v>5587.22635988</v>
      </c>
      <c r="E137" s="39">
        <v>1.7666885785485809E-2</v>
      </c>
      <c r="F137" s="39">
        <f t="shared" ref="F137:F146" si="7">(E137+1)^(1/6)-1</f>
        <v>2.9230371663151455E-3</v>
      </c>
      <c r="G137" s="40">
        <f>(G136+1)^(1/6)-1</f>
        <v>2.1956247704738141E-2</v>
      </c>
      <c r="H137" s="40">
        <f>(H136+1)^(1/6)-1</f>
        <v>4.8485108719922954E-2</v>
      </c>
      <c r="I137" s="41">
        <f>$G137*$N140/$M140</f>
        <v>5.9615211794127675E-2</v>
      </c>
      <c r="J137" s="42">
        <f>$H137*$N140/$M140</f>
        <v>0.13164590161622911</v>
      </c>
      <c r="L137" s="30"/>
      <c r="M137" s="30" t="s">
        <v>64</v>
      </c>
      <c r="N137" s="30" t="s">
        <v>186</v>
      </c>
    </row>
    <row r="138" spans="2:14" outlineLevel="1" x14ac:dyDescent="0.35">
      <c r="B138" s="4" t="s">
        <v>70</v>
      </c>
      <c r="C138" s="28">
        <v>4509.4080588699999</v>
      </c>
      <c r="D138" s="28">
        <v>6435.0389011899997</v>
      </c>
      <c r="E138" s="39">
        <v>0.42702519203873912</v>
      </c>
      <c r="F138" s="39">
        <f t="shared" si="7"/>
        <v>6.1056735732248679E-2</v>
      </c>
      <c r="I138" s="43">
        <f>D136*(1+I137)^9</f>
        <v>6459.0431904364723</v>
      </c>
      <c r="J138" s="43">
        <f>D136*(1+J137)^9</f>
        <v>11674.264355772702</v>
      </c>
      <c r="L138" s="44"/>
      <c r="M138" s="44">
        <v>6.764892669959166E-2</v>
      </c>
      <c r="N138" s="44">
        <v>0.43329765417781307</v>
      </c>
    </row>
    <row r="139" spans="2:14" outlineLevel="1" x14ac:dyDescent="0.35">
      <c r="B139" s="4" t="s">
        <v>121</v>
      </c>
      <c r="C139" s="28">
        <v>4351.8466226600003</v>
      </c>
      <c r="D139" s="28">
        <v>5025.1771154999997</v>
      </c>
      <c r="E139" s="39">
        <v>0.15472293746153132</v>
      </c>
      <c r="F139" s="39">
        <f t="shared" si="7"/>
        <v>2.4266492186838295E-2</v>
      </c>
      <c r="I139" s="68">
        <f>I138/N136</f>
        <v>1.0583132671102171E-2</v>
      </c>
      <c r="J139" s="68">
        <f>J138/N136</f>
        <v>1.912826480206779E-2</v>
      </c>
      <c r="L139" s="30"/>
      <c r="M139" s="30" t="s">
        <v>117</v>
      </c>
      <c r="N139" s="30" t="s">
        <v>243</v>
      </c>
    </row>
    <row r="140" spans="2:14" outlineLevel="1" x14ac:dyDescent="0.35">
      <c r="B140" s="4" t="s">
        <v>101</v>
      </c>
      <c r="C140" s="28">
        <v>7528.6302514500003</v>
      </c>
      <c r="D140" s="28">
        <v>8500.4642810000005</v>
      </c>
      <c r="E140" s="39">
        <v>0.12908510540318097</v>
      </c>
      <c r="F140" s="39">
        <f t="shared" si="7"/>
        <v>2.0440718146260917E-2</v>
      </c>
      <c r="I140" s="46" t="s">
        <v>71</v>
      </c>
      <c r="J140" s="46"/>
      <c r="M140" s="47">
        <v>1.0969556880748001E-2</v>
      </c>
      <c r="N140" s="47">
        <v>2.9784345008660118E-2</v>
      </c>
    </row>
    <row r="141" spans="2:14" ht="14.25" outlineLevel="1" x14ac:dyDescent="0.45">
      <c r="B141" s="4" t="s">
        <v>73</v>
      </c>
      <c r="C141" s="28">
        <v>3220.66858017</v>
      </c>
      <c r="D141" s="28">
        <v>4065.3291949200002</v>
      </c>
      <c r="E141" s="39">
        <v>0.26226250659588679</v>
      </c>
      <c r="F141" s="39">
        <f t="shared" si="7"/>
        <v>3.9580872952098112E-2</v>
      </c>
      <c r="I141" s="48">
        <f>D136</f>
        <v>3835.61076761</v>
      </c>
      <c r="J141" s="49"/>
      <c r="N141"/>
    </row>
    <row r="142" spans="2:14" ht="14.25" outlineLevel="1" x14ac:dyDescent="0.45">
      <c r="B142" s="4" t="s">
        <v>112</v>
      </c>
      <c r="C142" s="28">
        <v>1741.82651119</v>
      </c>
      <c r="D142" s="28">
        <v>2203.7305487899998</v>
      </c>
      <c r="E142" s="39">
        <v>0.26518372216325448</v>
      </c>
      <c r="F142" s="39">
        <f t="shared" si="7"/>
        <v>3.9981465220318979E-2</v>
      </c>
      <c r="I142" s="50">
        <f>I141/M136</f>
        <v>9.0077634156999209E-3</v>
      </c>
      <c r="J142" s="50"/>
      <c r="N142"/>
    </row>
    <row r="143" spans="2:14" ht="14.25" outlineLevel="1" x14ac:dyDescent="0.45">
      <c r="B143" s="4" t="s">
        <v>122</v>
      </c>
      <c r="C143" s="28">
        <v>1664.00622939</v>
      </c>
      <c r="D143" s="28">
        <v>1886.98997024</v>
      </c>
      <c r="E143" s="39">
        <v>0.13400415029199886</v>
      </c>
      <c r="F143" s="39">
        <f t="shared" si="7"/>
        <v>2.1180329640543283E-2</v>
      </c>
      <c r="N143"/>
    </row>
    <row r="144" spans="2:14" ht="14.25" outlineLevel="1" x14ac:dyDescent="0.45">
      <c r="B144" s="4" t="s">
        <v>123</v>
      </c>
      <c r="C144" s="28">
        <v>1441.6044825399999</v>
      </c>
      <c r="D144" s="28">
        <v>1755.56013418</v>
      </c>
      <c r="E144" s="39">
        <v>0.21778210004371901</v>
      </c>
      <c r="F144" s="39">
        <f t="shared" si="7"/>
        <v>3.338367796474162E-2</v>
      </c>
      <c r="N144"/>
    </row>
    <row r="145" spans="2:14" ht="14.25" outlineLevel="1" x14ac:dyDescent="0.45">
      <c r="B145" s="4" t="s">
        <v>108</v>
      </c>
      <c r="C145" s="28">
        <v>1436.25453851</v>
      </c>
      <c r="D145" s="28">
        <v>2631.4612114800002</v>
      </c>
      <c r="E145" s="39">
        <v>0.83216911830261808</v>
      </c>
      <c r="F145" s="39">
        <f t="shared" si="7"/>
        <v>0.10618456198138015</v>
      </c>
      <c r="N145"/>
    </row>
    <row r="146" spans="2:14" ht="14.25" outlineLevel="1" x14ac:dyDescent="0.45">
      <c r="B146" s="4" t="s">
        <v>124</v>
      </c>
      <c r="C146" s="28">
        <v>1165.15567119</v>
      </c>
      <c r="D146" s="28">
        <v>2150.2559152099998</v>
      </c>
      <c r="E146" s="39">
        <v>0.84546663452609261</v>
      </c>
      <c r="F146" s="39">
        <f t="shared" si="7"/>
        <v>0.10751861101708293</v>
      </c>
      <c r="L146" s="51"/>
      <c r="N146"/>
    </row>
    <row r="148" spans="2:14" ht="14.25" x14ac:dyDescent="0.45">
      <c r="B148" s="27" t="s">
        <v>125</v>
      </c>
      <c r="M148" s="29"/>
      <c r="N148"/>
    </row>
    <row r="149" spans="2:14" ht="14.25" outlineLevel="1" x14ac:dyDescent="0.45">
      <c r="N149"/>
    </row>
    <row r="150" spans="2:14" outlineLevel="1" x14ac:dyDescent="0.35">
      <c r="B150" s="30" t="s">
        <v>54</v>
      </c>
      <c r="C150" s="30" t="s">
        <v>55</v>
      </c>
      <c r="D150" s="30" t="s">
        <v>56</v>
      </c>
      <c r="E150" s="30" t="s">
        <v>57</v>
      </c>
      <c r="F150" s="62" t="s">
        <v>39</v>
      </c>
      <c r="G150" s="31" t="s">
        <v>58</v>
      </c>
      <c r="H150" s="31" t="s">
        <v>59</v>
      </c>
      <c r="I150" s="32" t="s">
        <v>181</v>
      </c>
      <c r="J150" s="32" t="s">
        <v>182</v>
      </c>
      <c r="L150" s="30" t="s">
        <v>60</v>
      </c>
      <c r="M150" s="30" t="s">
        <v>61</v>
      </c>
      <c r="N150" s="30" t="s">
        <v>180</v>
      </c>
    </row>
    <row r="151" spans="2:14" outlineLevel="1" x14ac:dyDescent="0.35">
      <c r="B151" s="33" t="s">
        <v>18</v>
      </c>
      <c r="C151" s="34">
        <v>7126.2290258499997</v>
      </c>
      <c r="D151" s="34">
        <v>6767.3889727200003</v>
      </c>
      <c r="E151" s="35">
        <v>-5.0354830279566776E-2</v>
      </c>
      <c r="F151" s="35">
        <f>(E151+1)^(1/6)-1</f>
        <v>-8.5741752371948365E-3</v>
      </c>
      <c r="G151" s="36">
        <f>QUARTILE(E152:E161,1)</f>
        <v>4.6915638268515192E-2</v>
      </c>
      <c r="H151" s="36">
        <f>AVERAGE(E152:E161)</f>
        <v>0.23919785559235765</v>
      </c>
      <c r="I151" s="37"/>
      <c r="J151" s="37"/>
      <c r="L151" s="38">
        <v>959653.88853768003</v>
      </c>
      <c r="M151" s="38">
        <v>1405492.6999510999</v>
      </c>
      <c r="N151" s="38">
        <v>1987394.9809146</v>
      </c>
    </row>
    <row r="152" spans="2:14" outlineLevel="1" x14ac:dyDescent="0.35">
      <c r="B152" s="4" t="s">
        <v>123</v>
      </c>
      <c r="C152" s="28">
        <v>9240.64542239</v>
      </c>
      <c r="D152" s="28">
        <v>14067.41161134</v>
      </c>
      <c r="E152" s="39">
        <v>0.52234080719673415</v>
      </c>
      <c r="F152" s="39">
        <f t="shared" ref="F152:F161" si="8">(E152+1)^(1/6)-1</f>
        <v>7.2552718975215091E-2</v>
      </c>
      <c r="G152" s="40">
        <f>(G151+1)^(1/6)-1</f>
        <v>7.6706622655797752E-3</v>
      </c>
      <c r="H152" s="40">
        <f>(H151+1)^(1/6)-1</f>
        <v>3.6390544863443841E-2</v>
      </c>
      <c r="I152" s="41">
        <f>$G152*$N155/$M155</f>
        <v>3.4794827205848378E-3</v>
      </c>
      <c r="J152" s="42">
        <f>$H152*$N155/$M155</f>
        <v>1.6507084741978244E-2</v>
      </c>
      <c r="L152" s="30"/>
      <c r="M152" s="30" t="s">
        <v>64</v>
      </c>
      <c r="N152" s="30" t="s">
        <v>186</v>
      </c>
    </row>
    <row r="153" spans="2:14" outlineLevel="1" x14ac:dyDescent="0.35">
      <c r="B153" s="4" t="s">
        <v>63</v>
      </c>
      <c r="C153" s="28">
        <v>4985.1353542699999</v>
      </c>
      <c r="D153" s="28">
        <v>6210.2047843999999</v>
      </c>
      <c r="E153" s="39">
        <v>0.2457444669141573</v>
      </c>
      <c r="F153" s="39">
        <f t="shared" si="8"/>
        <v>3.7301074620126107E-2</v>
      </c>
      <c r="I153" s="43">
        <f>D151*(1+I152)^9</f>
        <v>6982.2856930133321</v>
      </c>
      <c r="J153" s="43">
        <f>D151*(1+J152)^9</f>
        <v>7841.7831464364044</v>
      </c>
      <c r="L153" s="44"/>
      <c r="M153" s="44">
        <v>0.46458292592633454</v>
      </c>
      <c r="N153" s="44">
        <v>0.41402013755300593</v>
      </c>
    </row>
    <row r="154" spans="2:14" outlineLevel="1" x14ac:dyDescent="0.35">
      <c r="B154" s="4" t="s">
        <v>109</v>
      </c>
      <c r="C154" s="28">
        <v>9748.3036688400007</v>
      </c>
      <c r="D154" s="28">
        <v>10267.58433272</v>
      </c>
      <c r="E154" s="39">
        <v>5.3268823122514686E-2</v>
      </c>
      <c r="F154" s="39">
        <f t="shared" si="8"/>
        <v>8.6872660350916231E-3</v>
      </c>
      <c r="I154" s="45">
        <f>I153/N151</f>
        <v>3.5132853610207273E-3</v>
      </c>
      <c r="J154" s="45">
        <f>J153/N151</f>
        <v>3.9457597617699588E-3</v>
      </c>
      <c r="L154" s="30"/>
      <c r="M154" s="30" t="s">
        <v>68</v>
      </c>
      <c r="N154" s="30" t="s">
        <v>243</v>
      </c>
    </row>
    <row r="155" spans="2:14" outlineLevel="1" x14ac:dyDescent="0.35">
      <c r="B155" s="4" t="s">
        <v>101</v>
      </c>
      <c r="C155" s="28">
        <v>9910.5741182500005</v>
      </c>
      <c r="D155" s="28">
        <v>10264.231467330001</v>
      </c>
      <c r="E155" s="39">
        <v>3.5684849824063392E-2</v>
      </c>
      <c r="F155" s="39">
        <f t="shared" si="8"/>
        <v>5.860924829737213E-3</v>
      </c>
      <c r="I155" s="46" t="s">
        <v>71</v>
      </c>
      <c r="J155" s="46"/>
      <c r="M155" s="47">
        <f>(M151/L151)^(1/6)-1</f>
        <v>6.5660809295393641E-2</v>
      </c>
      <c r="N155" s="47">
        <v>2.9784345008660118E-2</v>
      </c>
    </row>
    <row r="156" spans="2:14" outlineLevel="1" x14ac:dyDescent="0.35">
      <c r="B156" s="4" t="s">
        <v>66</v>
      </c>
      <c r="C156" s="28">
        <v>4309.8534437799999</v>
      </c>
      <c r="D156" s="28">
        <v>5558.4911969799996</v>
      </c>
      <c r="E156" s="39">
        <v>0.28971698678107938</v>
      </c>
      <c r="F156" s="39">
        <f t="shared" si="8"/>
        <v>4.3315685309400331E-2</v>
      </c>
      <c r="I156" s="48">
        <f>D151</f>
        <v>6767.3889727200003</v>
      </c>
      <c r="J156" s="49"/>
    </row>
    <row r="157" spans="2:14" outlineLevel="1" x14ac:dyDescent="0.35">
      <c r="B157" s="4" t="s">
        <v>70</v>
      </c>
      <c r="C157" s="28">
        <v>4215.5676293400002</v>
      </c>
      <c r="D157" s="28">
        <v>4404.4162485300003</v>
      </c>
      <c r="E157" s="39">
        <v>4.4797909983848694E-2</v>
      </c>
      <c r="F157" s="39">
        <f t="shared" si="8"/>
        <v>7.3306518231397444E-3</v>
      </c>
      <c r="I157" s="50">
        <f>I156/M151</f>
        <v>4.8149584647116644E-3</v>
      </c>
      <c r="J157" s="50"/>
    </row>
    <row r="158" spans="2:14" outlineLevel="1" x14ac:dyDescent="0.35">
      <c r="B158" s="4" t="s">
        <v>126</v>
      </c>
      <c r="C158" s="28">
        <v>3833.5106822100001</v>
      </c>
      <c r="D158" s="28">
        <v>3963.3547867299999</v>
      </c>
      <c r="E158" s="39">
        <v>3.3870808061801316E-2</v>
      </c>
      <c r="F158" s="39">
        <f t="shared" si="8"/>
        <v>5.5670763015553959E-3</v>
      </c>
    </row>
    <row r="159" spans="2:14" outlineLevel="1" x14ac:dyDescent="0.35">
      <c r="B159" s="4" t="s">
        <v>127</v>
      </c>
      <c r="C159" s="28">
        <v>10591.016528820001</v>
      </c>
      <c r="D159" s="28">
        <v>15538.13594129</v>
      </c>
      <c r="E159" s="39">
        <v>0.46710524896340466</v>
      </c>
      <c r="F159" s="39">
        <f t="shared" si="8"/>
        <v>6.5966472424632272E-2</v>
      </c>
    </row>
    <row r="160" spans="2:14" outlineLevel="1" x14ac:dyDescent="0.35">
      <c r="B160" s="4" t="s">
        <v>120</v>
      </c>
      <c r="C160" s="28">
        <v>3301.21264518</v>
      </c>
      <c r="D160" s="28">
        <v>3564.2804754499998</v>
      </c>
      <c r="E160" s="39">
        <v>7.9688241426706385E-2</v>
      </c>
      <c r="F160" s="39">
        <f t="shared" si="8"/>
        <v>1.2860719124665687E-2</v>
      </c>
    </row>
    <row r="161" spans="2:12" outlineLevel="1" x14ac:dyDescent="0.35">
      <c r="B161" s="4" t="s">
        <v>72</v>
      </c>
      <c r="C161" s="28">
        <v>2924.1827802600001</v>
      </c>
      <c r="D161" s="28">
        <v>4736.4755097400002</v>
      </c>
      <c r="E161" s="39">
        <v>0.61976041364926671</v>
      </c>
      <c r="F161" s="39">
        <f t="shared" si="8"/>
        <v>8.369847809200115E-2</v>
      </c>
      <c r="L161" s="51"/>
    </row>
    <row r="162" spans="2:12" x14ac:dyDescent="0.35">
      <c r="F162" s="39"/>
    </row>
    <row r="166" spans="2:12" x14ac:dyDescent="0.35">
      <c r="F166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667-00CB-4025-A268-BD3F82D83B2F}">
  <sheetPr filterMode="1">
    <tabColor theme="4" tint="-0.249977111117893"/>
  </sheetPr>
  <dimension ref="A1:T76"/>
  <sheetViews>
    <sheetView workbookViewId="0"/>
  </sheetViews>
  <sheetFormatPr defaultColWidth="8.86328125" defaultRowHeight="14.25" x14ac:dyDescent="0.45"/>
  <cols>
    <col min="4" max="4" width="14.1328125" customWidth="1"/>
    <col min="9" max="9" width="14.46484375" customWidth="1"/>
    <col min="15" max="15" width="13.6640625" bestFit="1" customWidth="1"/>
    <col min="16" max="16" width="10.1328125" bestFit="1" customWidth="1"/>
  </cols>
  <sheetData>
    <row r="1" spans="1:20" x14ac:dyDescent="0.4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933</v>
      </c>
      <c r="O1" s="334" t="s">
        <v>928</v>
      </c>
      <c r="P1" s="334" t="s">
        <v>929</v>
      </c>
      <c r="Q1" s="334" t="s">
        <v>930</v>
      </c>
      <c r="R1" s="334" t="s">
        <v>931</v>
      </c>
      <c r="S1" s="334" t="s">
        <v>932</v>
      </c>
      <c r="T1" s="334" t="s">
        <v>1057</v>
      </c>
    </row>
    <row r="2" spans="1:20" x14ac:dyDescent="0.45">
      <c r="A2" s="293" t="s">
        <v>75</v>
      </c>
      <c r="B2" s="297" t="s">
        <v>0</v>
      </c>
      <c r="C2" s="297" t="s">
        <v>958</v>
      </c>
      <c r="D2" s="311">
        <v>36185.021555129999</v>
      </c>
      <c r="E2" s="311">
        <v>45837.06156414</v>
      </c>
      <c r="F2" s="302">
        <f t="shared" ref="F2:F33" si="0">H2/D2-1</f>
        <v>0.266741308812116</v>
      </c>
      <c r="G2" s="311">
        <v>39588.217762339998</v>
      </c>
      <c r="H2" s="311">
        <v>45837.06156414</v>
      </c>
      <c r="I2" s="302">
        <f t="shared" ref="I2:I33" si="1">H2/G2-1</f>
        <v>0.15784605003725338</v>
      </c>
      <c r="J2" s="311">
        <v>50146.776578160003</v>
      </c>
      <c r="K2" s="311">
        <v>55587.72490352</v>
      </c>
      <c r="L2" s="311">
        <v>59972.893103679999</v>
      </c>
      <c r="M2" s="312">
        <v>70559.739638469997</v>
      </c>
      <c r="N2" t="str">
        <f t="shared" ref="N2:N33" si="2">A2&amp;B2</f>
        <v>MexicoManufacture of food products (C10)</v>
      </c>
      <c r="O2" s="11">
        <f>INDEX('Base de dados IHS'!$A$1:$V$676,MATCH($N2,'Base de dados IHS'!$C$1:$C$676,0),MATCH($O$1,'Base de dados IHS'!$A$1:$V$1,0))</f>
        <v>1239119.2771185001</v>
      </c>
      <c r="P2" s="11">
        <f>INDEX('Base de dados IHS'!$A$1:$V$676,MATCH($N2,'Base de dados IHS'!$C$1:$C$676,0),MATCH($P$1,'Base de dados IHS'!$A$1:$V$1,0))</f>
        <v>1262038.2891611001</v>
      </c>
      <c r="Q2" s="131">
        <f>INDEX('Base de dados IHS'!$A$1:$V$676,MATCH($N2,'Base de dados IHS'!$C$1:$C$676,0),MATCH($Q$1,'Base de dados IHS'!$A$1:$V$1,0))</f>
        <v>3.1948673943964535E-2</v>
      </c>
      <c r="R2" s="131">
        <f>INDEX('Base de dados IHS'!$A$1:$V$676,MATCH($N2,'Base de dados IHS'!$C$1:$C$676,0),MATCH($R$1,'Base de dados IHS'!$A$1:$V$1,0))</f>
        <v>3.6319866011837669E-2</v>
      </c>
      <c r="S2" s="131">
        <f>INDEX('Base de dados IHS'!$A$1:$V$676,MATCH($N2,'Base de dados IHS'!$C$1:$C$676,0),MATCH($S$1,'Base de dados IHS'!$A$1:$V$1,0))</f>
        <v>4.3711920678731336E-3</v>
      </c>
      <c r="T2" t="str">
        <f>IF(Q2&lt;'Cenario A ranking setor PIB'!$G$16,"N","Y")</f>
        <v>Y</v>
      </c>
    </row>
    <row r="3" spans="1:20" x14ac:dyDescent="0.45">
      <c r="A3" s="293" t="s">
        <v>177</v>
      </c>
      <c r="B3" s="297" t="s">
        <v>0</v>
      </c>
      <c r="C3" s="297" t="s">
        <v>958</v>
      </c>
      <c r="D3" s="311">
        <v>850.43551993000005</v>
      </c>
      <c r="E3" s="311">
        <v>1318.7880281600001</v>
      </c>
      <c r="F3" s="302">
        <f t="shared" si="0"/>
        <v>0.55072077453743984</v>
      </c>
      <c r="G3" s="311">
        <v>1039.9173115599999</v>
      </c>
      <c r="H3" s="311">
        <v>1318.7880281600001</v>
      </c>
      <c r="I3" s="302">
        <f t="shared" si="1"/>
        <v>0.26816624120013999</v>
      </c>
      <c r="J3" s="311">
        <v>1700.09521683</v>
      </c>
      <c r="K3" s="311">
        <v>2021.0105209999999</v>
      </c>
      <c r="L3" s="311">
        <v>2278.2679499400001</v>
      </c>
      <c r="M3" s="312">
        <v>2935.8625878600001</v>
      </c>
      <c r="N3" t="str">
        <f t="shared" si="2"/>
        <v>BoliviaManufacture of food products (C10)</v>
      </c>
      <c r="O3" s="11">
        <f>INDEX('Base de dados IHS'!$A$1:$V$676,MATCH($N3,'Base de dados IHS'!$C$1:$C$676,0),MATCH($O$1,'Base de dados IHS'!$A$1:$V$1,0))</f>
        <v>35334.894672080001</v>
      </c>
      <c r="P3" s="11">
        <f>INDEX('Base de dados IHS'!$A$1:$V$676,MATCH($N3,'Base de dados IHS'!$C$1:$C$676,0),MATCH($P$1,'Base de dados IHS'!$A$1:$V$1,0))</f>
        <v>39600.741188879998</v>
      </c>
      <c r="Q3" s="131">
        <f>INDEX('Base de dados IHS'!$A$1:$V$676,MATCH($N3,'Base de dados IHS'!$C$1:$C$676,0),MATCH($Q$1,'Base de dados IHS'!$A$1:$V$1,0))</f>
        <v>2.9430321533735728E-2</v>
      </c>
      <c r="R3" s="131">
        <f>INDEX('Base de dados IHS'!$A$1:$V$676,MATCH($N3,'Base de dados IHS'!$C$1:$C$676,0),MATCH($R$1,'Base de dados IHS'!$A$1:$V$1,0))</f>
        <v>3.3302104671978201E-2</v>
      </c>
      <c r="S3" s="131">
        <f>INDEX('Base de dados IHS'!$A$1:$V$676,MATCH($N3,'Base de dados IHS'!$C$1:$C$676,0),MATCH($S$1,'Base de dados IHS'!$A$1:$V$1,0))</f>
        <v>3.8717831382424732E-3</v>
      </c>
      <c r="T3" t="str">
        <f>IF(Q3&lt;'Cenario A ranking setor PIB'!$G$16,"N","Y")</f>
        <v>Y</v>
      </c>
    </row>
    <row r="4" spans="1:20" hidden="1" x14ac:dyDescent="0.45">
      <c r="A4" s="293" t="s">
        <v>107</v>
      </c>
      <c r="B4" s="297" t="s">
        <v>0</v>
      </c>
      <c r="C4" s="297" t="s">
        <v>958</v>
      </c>
      <c r="D4" s="311">
        <v>4560.0105129499998</v>
      </c>
      <c r="E4" s="311">
        <v>4016.2383550999998</v>
      </c>
      <c r="F4" s="302">
        <f t="shared" si="0"/>
        <v>-0.11924800530738655</v>
      </c>
      <c r="G4" s="311">
        <v>4428.4992084799997</v>
      </c>
      <c r="H4" s="311">
        <v>4016.2383550999998</v>
      </c>
      <c r="I4" s="302">
        <f t="shared" si="1"/>
        <v>-9.309267857394532E-2</v>
      </c>
      <c r="J4" s="311">
        <v>4458.4734329800003</v>
      </c>
      <c r="K4" s="311">
        <v>4636.53130246</v>
      </c>
      <c r="L4" s="311">
        <v>4597.0464109200002</v>
      </c>
      <c r="M4" s="312">
        <v>4504.0575461099997</v>
      </c>
      <c r="N4" t="str">
        <f t="shared" si="2"/>
        <v>IranManufacture of food products (C10)</v>
      </c>
      <c r="O4" s="11">
        <f>INDEX('Base de dados IHS'!$A$1:$V$676,MATCH($N4,'Base de dados IHS'!$C$1:$C$676,0),MATCH($O$1,'Base de dados IHS'!$A$1:$V$1,0))</f>
        <v>195024.47923529</v>
      </c>
      <c r="P4" s="11">
        <f>INDEX('Base de dados IHS'!$A$1:$V$676,MATCH($N4,'Base de dados IHS'!$C$1:$C$676,0),MATCH($P$1,'Base de dados IHS'!$A$1:$V$1,0))</f>
        <v>224406.94908081999</v>
      </c>
      <c r="Q4" s="131">
        <f>INDEX('Base de dados IHS'!$A$1:$V$676,MATCH($N4,'Base de dados IHS'!$C$1:$C$676,0),MATCH($Q$1,'Base de dados IHS'!$A$1:$V$1,0))</f>
        <v>2.2707401787942606E-2</v>
      </c>
      <c r="R4" s="131">
        <f>INDEX('Base de dados IHS'!$A$1:$V$676,MATCH($N4,'Base de dados IHS'!$C$1:$C$676,0),MATCH($R$1,'Base de dados IHS'!$A$1:$V$1,0))</f>
        <v>1.7897121152222226E-2</v>
      </c>
      <c r="S4" s="131">
        <f>INDEX('Base de dados IHS'!$A$1:$V$676,MATCH($N4,'Base de dados IHS'!$C$1:$C$676,0),MATCH($S$1,'Base de dados IHS'!$A$1:$V$1,0))</f>
        <v>-4.8102806357203792E-3</v>
      </c>
      <c r="T4" t="str">
        <f>IF(Q4&lt;'Cenario A ranking setor PIB'!$G$16,"N","Y")</f>
        <v>N</v>
      </c>
    </row>
    <row r="5" spans="1:20" x14ac:dyDescent="0.45">
      <c r="A5" s="293" t="s">
        <v>99</v>
      </c>
      <c r="B5" s="297" t="s">
        <v>0</v>
      </c>
      <c r="C5" s="297" t="s">
        <v>958</v>
      </c>
      <c r="D5" s="311">
        <v>20575.684013139999</v>
      </c>
      <c r="E5" s="311">
        <v>44543.688860200004</v>
      </c>
      <c r="F5" s="302">
        <f t="shared" si="0"/>
        <v>1.1648703796069966</v>
      </c>
      <c r="G5" s="311">
        <v>32607.318518259999</v>
      </c>
      <c r="H5" s="311">
        <v>44543.688860200004</v>
      </c>
      <c r="I5" s="302">
        <f t="shared" si="1"/>
        <v>0.3660641501464057</v>
      </c>
      <c r="J5" s="311">
        <v>54827.137939020002</v>
      </c>
      <c r="K5" s="311">
        <v>66309.267524209994</v>
      </c>
      <c r="L5" s="311">
        <v>76825.075601909994</v>
      </c>
      <c r="M5" s="312">
        <v>108681.39069646</v>
      </c>
      <c r="N5" t="str">
        <f t="shared" si="2"/>
        <v>IndonesiaManufacture of food products (C10)</v>
      </c>
      <c r="O5" s="11">
        <f>INDEX('Base de dados IHS'!$A$1:$V$676,MATCH($N5,'Base de dados IHS'!$C$1:$C$676,0),MATCH($O$1,'Base de dados IHS'!$A$1:$V$1,0))</f>
        <v>917924.88667253999</v>
      </c>
      <c r="P5" s="11">
        <f>INDEX('Base de dados IHS'!$A$1:$V$676,MATCH($N5,'Base de dados IHS'!$C$1:$C$676,0),MATCH($P$1,'Base de dados IHS'!$A$1:$V$1,0))</f>
        <v>1136354.4627425</v>
      </c>
      <c r="Q5" s="131">
        <f>INDEX('Base de dados IHS'!$A$1:$V$676,MATCH($N5,'Base de dados IHS'!$C$1:$C$676,0),MATCH($Q$1,'Base de dados IHS'!$A$1:$V$1,0))</f>
        <v>3.552286139278879E-2</v>
      </c>
      <c r="R5" s="131">
        <f>INDEX('Base de dados IHS'!$A$1:$V$676,MATCH($N5,'Base de dados IHS'!$C$1:$C$676,0),MATCH($R$1,'Base de dados IHS'!$A$1:$V$1,0))</f>
        <v>3.9198762640221783E-2</v>
      </c>
      <c r="S5" s="131">
        <f>INDEX('Base de dados IHS'!$A$1:$V$676,MATCH($N5,'Base de dados IHS'!$C$1:$C$676,0),MATCH($S$1,'Base de dados IHS'!$A$1:$V$1,0))</f>
        <v>3.675901247432993E-3</v>
      </c>
      <c r="T5" t="str">
        <f>IF(Q5&lt;'Cenario A ranking setor PIB'!$G$16,"N","Y")</f>
        <v>Y</v>
      </c>
    </row>
    <row r="6" spans="1:20" x14ac:dyDescent="0.45">
      <c r="A6" s="293" t="s">
        <v>142</v>
      </c>
      <c r="B6" s="297" t="s">
        <v>0</v>
      </c>
      <c r="C6" s="297" t="s">
        <v>958</v>
      </c>
      <c r="D6" s="311">
        <v>14473.689343440001</v>
      </c>
      <c r="E6" s="311">
        <v>15946.29308705</v>
      </c>
      <c r="F6" s="302">
        <f t="shared" si="0"/>
        <v>0.10174349529461457</v>
      </c>
      <c r="G6" s="311">
        <v>15163.68110661</v>
      </c>
      <c r="H6" s="311">
        <v>15946.29308705</v>
      </c>
      <c r="I6" s="302">
        <f t="shared" si="1"/>
        <v>5.161094954040224E-2</v>
      </c>
      <c r="J6" s="311">
        <v>15702.9845577</v>
      </c>
      <c r="K6" s="311">
        <v>17024.61214487</v>
      </c>
      <c r="L6" s="311">
        <v>18184.944986549999</v>
      </c>
      <c r="M6" s="312">
        <v>21748.96059526</v>
      </c>
      <c r="N6" t="str">
        <f t="shared" si="2"/>
        <v>ArgentinaManufacture of food products (C10)</v>
      </c>
      <c r="O6" s="11">
        <f>INDEX('Base de dados IHS'!$A$1:$V$676,MATCH($N6,'Base de dados IHS'!$C$1:$C$676,0),MATCH($O$1,'Base de dados IHS'!$A$1:$V$1,0))</f>
        <v>464976.94374428003</v>
      </c>
      <c r="P6" s="11">
        <f>INDEX('Base de dados IHS'!$A$1:$V$676,MATCH($N6,'Base de dados IHS'!$C$1:$C$676,0),MATCH($P$1,'Base de dados IHS'!$A$1:$V$1,0))</f>
        <v>445673.70595729002</v>
      </c>
      <c r="Q6" s="131">
        <f>INDEX('Base de dados IHS'!$A$1:$V$676,MATCH($N6,'Base de dados IHS'!$C$1:$C$676,0),MATCH($Q$1,'Base de dados IHS'!$A$1:$V$1,0))</f>
        <v>3.2611683892329636E-2</v>
      </c>
      <c r="R6" s="131">
        <f>INDEX('Base de dados IHS'!$A$1:$V$676,MATCH($N6,'Base de dados IHS'!$C$1:$C$676,0),MATCH($R$1,'Base de dados IHS'!$A$1:$V$1,0))</f>
        <v>3.578019720234106E-2</v>
      </c>
      <c r="S6" s="131">
        <f>INDEX('Base de dados IHS'!$A$1:$V$676,MATCH($N6,'Base de dados IHS'!$C$1:$C$676,0),MATCH($S$1,'Base de dados IHS'!$A$1:$V$1,0))</f>
        <v>3.1685133100114241E-3</v>
      </c>
      <c r="T6" t="str">
        <f>IF(Q6&lt;'Cenario A ranking setor PIB'!$G$16,"N","Y")</f>
        <v>Y</v>
      </c>
    </row>
    <row r="7" spans="1:20" hidden="1" x14ac:dyDescent="0.45">
      <c r="A7" s="293" t="s">
        <v>112</v>
      </c>
      <c r="B7" s="297" t="s">
        <v>0</v>
      </c>
      <c r="C7" s="297" t="s">
        <v>958</v>
      </c>
      <c r="D7" s="311">
        <v>8545.9701982299994</v>
      </c>
      <c r="E7" s="311">
        <v>14011.50213047</v>
      </c>
      <c r="F7" s="302">
        <f t="shared" si="0"/>
        <v>0.63954493234390131</v>
      </c>
      <c r="G7" s="311">
        <v>12806.87505126</v>
      </c>
      <c r="H7" s="311">
        <v>14011.50213047</v>
      </c>
      <c r="I7" s="302">
        <f t="shared" si="1"/>
        <v>9.4060969158239915E-2</v>
      </c>
      <c r="J7" s="311">
        <v>16285.299229910001</v>
      </c>
      <c r="K7" s="311">
        <v>18060.900784130001</v>
      </c>
      <c r="L7" s="311">
        <v>19403.560062529999</v>
      </c>
      <c r="M7" s="312">
        <v>22376.993046600001</v>
      </c>
      <c r="N7" t="str">
        <f t="shared" si="2"/>
        <v>PolandManufacture of food products (C10)</v>
      </c>
      <c r="O7" s="11">
        <f>INDEX('Base de dados IHS'!$A$1:$V$676,MATCH($N7,'Base de dados IHS'!$C$1:$C$676,0),MATCH($O$1,'Base de dados IHS'!$A$1:$V$1,0))</f>
        <v>496555.53410177003</v>
      </c>
      <c r="P7" s="11">
        <f>INDEX('Base de dados IHS'!$A$1:$V$676,MATCH($N7,'Base de dados IHS'!$C$1:$C$676,0),MATCH($P$1,'Base de dados IHS'!$A$1:$V$1,0))</f>
        <v>623108.57565016998</v>
      </c>
      <c r="Q7" s="131">
        <f>INDEX('Base de dados IHS'!$A$1:$V$676,MATCH($N7,'Base de dados IHS'!$C$1:$C$676,0),MATCH($Q$1,'Base de dados IHS'!$A$1:$V$1,0))</f>
        <v>2.5791425473540703E-2</v>
      </c>
      <c r="R7" s="131">
        <f>INDEX('Base de dados IHS'!$A$1:$V$676,MATCH($N7,'Base de dados IHS'!$C$1:$C$676,0),MATCH($R$1,'Base de dados IHS'!$A$1:$V$1,0))</f>
        <v>2.2486453690434262E-2</v>
      </c>
      <c r="S7" s="131">
        <f>INDEX('Base de dados IHS'!$A$1:$V$676,MATCH($N7,'Base de dados IHS'!$C$1:$C$676,0),MATCH($S$1,'Base de dados IHS'!$A$1:$V$1,0))</f>
        <v>-3.3049717831064411E-3</v>
      </c>
      <c r="T7" t="str">
        <f>IF(Q7&lt;'Cenario A ranking setor PIB'!$G$16,"N","Y")</f>
        <v>N</v>
      </c>
    </row>
    <row r="8" spans="1:20" x14ac:dyDescent="0.45">
      <c r="A8" s="293" t="s">
        <v>172</v>
      </c>
      <c r="B8" s="297" t="s">
        <v>0</v>
      </c>
      <c r="C8" s="297" t="s">
        <v>958</v>
      </c>
      <c r="D8" s="311">
        <v>1530.51698158</v>
      </c>
      <c r="E8" s="311">
        <v>1973.9361016400001</v>
      </c>
      <c r="F8" s="302">
        <f t="shared" si="0"/>
        <v>0.28971852347710958</v>
      </c>
      <c r="G8" s="311">
        <v>1797.4253018100001</v>
      </c>
      <c r="H8" s="311">
        <v>1973.9361016400001</v>
      </c>
      <c r="I8" s="302">
        <f t="shared" si="1"/>
        <v>9.8202022444134007E-2</v>
      </c>
      <c r="J8" s="311">
        <v>2277.63627653</v>
      </c>
      <c r="K8" s="311">
        <v>2346.5647812699999</v>
      </c>
      <c r="L8" s="311">
        <v>2382.7685238499998</v>
      </c>
      <c r="M8" s="312">
        <v>2484.2163783800002</v>
      </c>
      <c r="N8" t="str">
        <f t="shared" si="2"/>
        <v>UruguayManufacture of food products (C10)</v>
      </c>
      <c r="O8" s="11">
        <f>INDEX('Base de dados IHS'!$A$1:$V$676,MATCH($N8,'Base de dados IHS'!$C$1:$C$676,0),MATCH($O$1,'Base de dados IHS'!$A$1:$V$1,0))</f>
        <v>59449.563607900003</v>
      </c>
      <c r="P8" s="11">
        <f>INDEX('Base de dados IHS'!$A$1:$V$676,MATCH($N8,'Base de dados IHS'!$C$1:$C$676,0),MATCH($P$1,'Base de dados IHS'!$A$1:$V$1,0))</f>
        <v>61243.536031950003</v>
      </c>
      <c r="Q8" s="131">
        <f>INDEX('Base de dados IHS'!$A$1:$V$676,MATCH($N8,'Base de dados IHS'!$C$1:$C$676,0),MATCH($Q$1,'Base de dados IHS'!$A$1:$V$1,0))</f>
        <v>3.0234457458172961E-2</v>
      </c>
      <c r="R8" s="131">
        <f>INDEX('Base de dados IHS'!$A$1:$V$676,MATCH($N8,'Base de dados IHS'!$C$1:$C$676,0),MATCH($R$1,'Base de dados IHS'!$A$1:$V$1,0))</f>
        <v>3.2230929654522587E-2</v>
      </c>
      <c r="S8" s="131">
        <f>INDEX('Base de dados IHS'!$A$1:$V$676,MATCH($N8,'Base de dados IHS'!$C$1:$C$676,0),MATCH($S$1,'Base de dados IHS'!$A$1:$V$1,0))</f>
        <v>1.9964721963496267E-3</v>
      </c>
      <c r="T8" t="str">
        <f>IF(Q8&lt;'Cenario A ranking setor PIB'!$G$16,"N","Y")</f>
        <v>Y</v>
      </c>
    </row>
    <row r="9" spans="1:20" hidden="1" x14ac:dyDescent="0.45">
      <c r="A9" s="293" t="s">
        <v>146</v>
      </c>
      <c r="B9" s="297" t="s">
        <v>0</v>
      </c>
      <c r="C9" s="297" t="s">
        <v>958</v>
      </c>
      <c r="D9" s="311">
        <v>4541.1702677200001</v>
      </c>
      <c r="E9" s="311">
        <v>5200.1093019700002</v>
      </c>
      <c r="F9" s="302">
        <f t="shared" si="0"/>
        <v>0.14510335340956848</v>
      </c>
      <c r="G9" s="311">
        <v>4860.6512797900004</v>
      </c>
      <c r="H9" s="311">
        <v>5200.1093019700002</v>
      </c>
      <c r="I9" s="302">
        <f t="shared" si="1"/>
        <v>6.9837970806797989E-2</v>
      </c>
      <c r="J9" s="311">
        <v>5111.9716782699998</v>
      </c>
      <c r="K9" s="311">
        <v>5781.5764956900002</v>
      </c>
      <c r="L9" s="311">
        <v>6317.2877136799998</v>
      </c>
      <c r="M9" s="312">
        <v>7893.7115801800001</v>
      </c>
      <c r="N9" t="str">
        <f t="shared" si="2"/>
        <v>EgyptManufacture of food products (C10)</v>
      </c>
      <c r="O9" s="11">
        <f>INDEX('Base de dados IHS'!$A$1:$V$676,MATCH($N9,'Base de dados IHS'!$C$1:$C$676,0),MATCH($O$1,'Base de dados IHS'!$A$1:$V$1,0))</f>
        <v>276522.47435759002</v>
      </c>
      <c r="P9" s="11">
        <f>INDEX('Base de dados IHS'!$A$1:$V$676,MATCH($N9,'Base de dados IHS'!$C$1:$C$676,0),MATCH($P$1,'Base de dados IHS'!$A$1:$V$1,0))</f>
        <v>357883.01385108999</v>
      </c>
      <c r="Q9" s="131">
        <f>INDEX('Base de dados IHS'!$A$1:$V$676,MATCH($N9,'Base de dados IHS'!$C$1:$C$676,0),MATCH($Q$1,'Base de dados IHS'!$A$1:$V$1,0))</f>
        <v>1.7577780218704254E-2</v>
      </c>
      <c r="R9" s="131">
        <f>INDEX('Base de dados IHS'!$A$1:$V$676,MATCH($N9,'Base de dados IHS'!$C$1:$C$676,0),MATCH($R$1,'Base de dados IHS'!$A$1:$V$1,0))</f>
        <v>1.4530193109790037E-2</v>
      </c>
      <c r="S9" s="131">
        <f>INDEX('Base de dados IHS'!$A$1:$V$676,MATCH($N9,'Base de dados IHS'!$C$1:$C$676,0),MATCH($S$1,'Base de dados IHS'!$A$1:$V$1,0))</f>
        <v>-3.0475871089142171E-3</v>
      </c>
      <c r="T9" t="str">
        <f>IF(Q9&lt;'Cenario A ranking setor PIB'!$G$16,"N","Y")</f>
        <v>N</v>
      </c>
    </row>
    <row r="10" spans="1:20" x14ac:dyDescent="0.45">
      <c r="A10" s="293" t="s">
        <v>158</v>
      </c>
      <c r="B10" s="297" t="s">
        <v>0</v>
      </c>
      <c r="C10" s="297" t="s">
        <v>958</v>
      </c>
      <c r="D10" s="311">
        <v>2255.1638924700001</v>
      </c>
      <c r="E10" s="311">
        <v>3546.79818419</v>
      </c>
      <c r="F10" s="302">
        <f t="shared" si="0"/>
        <v>0.57274519871161966</v>
      </c>
      <c r="G10" s="311">
        <v>2559.4237431000001</v>
      </c>
      <c r="H10" s="311">
        <v>3546.79818419</v>
      </c>
      <c r="I10" s="302">
        <f t="shared" si="1"/>
        <v>0.38577998025996352</v>
      </c>
      <c r="J10" s="311">
        <v>4260.0568729500001</v>
      </c>
      <c r="K10" s="311">
        <v>5219.0908318800002</v>
      </c>
      <c r="L10" s="311">
        <v>6088.2204461399997</v>
      </c>
      <c r="M10" s="312">
        <v>8894.46368024</v>
      </c>
      <c r="N10" t="str">
        <f t="shared" si="2"/>
        <v>GhanaManufacture of food products (C10)</v>
      </c>
      <c r="O10" s="11">
        <f>INDEX('Base de dados IHS'!$A$1:$V$676,MATCH($N10,'Base de dados IHS'!$C$1:$C$676,0),MATCH($O$1,'Base de dados IHS'!$A$1:$V$1,0))</f>
        <v>54050.698328470004</v>
      </c>
      <c r="P10" s="11">
        <f>INDEX('Base de dados IHS'!$A$1:$V$676,MATCH($N10,'Base de dados IHS'!$C$1:$C$676,0),MATCH($P$1,'Base de dados IHS'!$A$1:$V$1,0))</f>
        <v>72367.878986030002</v>
      </c>
      <c r="Q10" s="131">
        <f>INDEX('Base de dados IHS'!$A$1:$V$676,MATCH($N10,'Base de dados IHS'!$C$1:$C$676,0),MATCH($Q$1,'Base de dados IHS'!$A$1:$V$1,0))</f>
        <v>4.7352278920545984E-2</v>
      </c>
      <c r="R10" s="131">
        <f>INDEX('Base de dados IHS'!$A$1:$V$676,MATCH($N10,'Base de dados IHS'!$C$1:$C$676,0),MATCH($R$1,'Base de dados IHS'!$A$1:$V$1,0))</f>
        <v>4.9010669289819578E-2</v>
      </c>
      <c r="S10" s="131">
        <f>INDEX('Base de dados IHS'!$A$1:$V$676,MATCH($N10,'Base de dados IHS'!$C$1:$C$676,0),MATCH($S$1,'Base de dados IHS'!$A$1:$V$1,0))</f>
        <v>1.6583903692735935E-3</v>
      </c>
      <c r="T10" t="str">
        <f>IF(Q10&lt;'Cenario A ranking setor PIB'!$G$16,"N","Y")</f>
        <v>Y</v>
      </c>
    </row>
    <row r="11" spans="1:20" hidden="1" x14ac:dyDescent="0.45">
      <c r="A11" s="293" t="s">
        <v>160</v>
      </c>
      <c r="B11" s="297" t="s">
        <v>0</v>
      </c>
      <c r="C11" s="297" t="s">
        <v>958</v>
      </c>
      <c r="D11" s="311">
        <v>1074.84820444</v>
      </c>
      <c r="E11" s="311">
        <v>1202.3057131</v>
      </c>
      <c r="F11" s="302">
        <f t="shared" si="0"/>
        <v>0.11858186870806176</v>
      </c>
      <c r="G11" s="311">
        <v>1144.0080434500001</v>
      </c>
      <c r="H11" s="311">
        <v>1202.3057131</v>
      </c>
      <c r="I11" s="302">
        <f t="shared" si="1"/>
        <v>5.0959143149195807E-2</v>
      </c>
      <c r="J11" s="311">
        <v>1305.24703621</v>
      </c>
      <c r="K11" s="311">
        <v>1284.2303625100001</v>
      </c>
      <c r="L11" s="311">
        <v>1304.8994613100001</v>
      </c>
      <c r="M11" s="312">
        <v>1437.4482642299999</v>
      </c>
      <c r="N11" t="str">
        <f t="shared" si="2"/>
        <v>BulgariaManufacture of food products (C10)</v>
      </c>
      <c r="O11" s="11">
        <f>INDEX('Base de dados IHS'!$A$1:$V$676,MATCH($N11,'Base de dados IHS'!$C$1:$C$676,0),MATCH($O$1,'Base de dados IHS'!$A$1:$V$1,0))</f>
        <v>60854.013563</v>
      </c>
      <c r="P11" s="11">
        <f>INDEX('Base de dados IHS'!$A$1:$V$676,MATCH($N11,'Base de dados IHS'!$C$1:$C$676,0),MATCH($P$1,'Base de dados IHS'!$A$1:$V$1,0))</f>
        <v>70836.911882080007</v>
      </c>
      <c r="Q11" s="131">
        <f>INDEX('Base de dados IHS'!$A$1:$V$676,MATCH($N11,'Base de dados IHS'!$C$1:$C$676,0),MATCH($Q$1,'Base de dados IHS'!$A$1:$V$1,0))</f>
        <v>1.8799220897166447E-2</v>
      </c>
      <c r="R11" s="131">
        <f>INDEX('Base de dados IHS'!$A$1:$V$676,MATCH($N11,'Base de dados IHS'!$C$1:$C$676,0),MATCH($R$1,'Base de dados IHS'!$A$1:$V$1,0))</f>
        <v>1.6972870233268225E-2</v>
      </c>
      <c r="S11" s="131">
        <f>INDEX('Base de dados IHS'!$A$1:$V$676,MATCH($N11,'Base de dados IHS'!$C$1:$C$676,0),MATCH($S$1,'Base de dados IHS'!$A$1:$V$1,0))</f>
        <v>-1.826350663898222E-3</v>
      </c>
      <c r="T11" t="str">
        <f>IF(Q11&lt;'Cenario A ranking setor PIB'!$G$16,"N","Y")</f>
        <v>N</v>
      </c>
    </row>
    <row r="12" spans="1:20" hidden="1" x14ac:dyDescent="0.45">
      <c r="A12" s="293" t="s">
        <v>66</v>
      </c>
      <c r="B12" s="297" t="s">
        <v>0</v>
      </c>
      <c r="C12" s="297" t="s">
        <v>958</v>
      </c>
      <c r="D12" s="311">
        <v>10876.53090625</v>
      </c>
      <c r="E12" s="311">
        <v>13912.610339819999</v>
      </c>
      <c r="F12" s="302">
        <f t="shared" si="0"/>
        <v>0.27914042259792327</v>
      </c>
      <c r="G12" s="311">
        <v>13822.66845198</v>
      </c>
      <c r="H12" s="311">
        <v>13912.610339819999</v>
      </c>
      <c r="I12" s="302">
        <f t="shared" si="1"/>
        <v>6.5068396997625122E-3</v>
      </c>
      <c r="J12" s="311">
        <v>14635.68411004</v>
      </c>
      <c r="K12" s="311">
        <v>15548.06432542</v>
      </c>
      <c r="L12" s="311">
        <v>16269.69742002</v>
      </c>
      <c r="M12" s="312">
        <v>18103.853686620001</v>
      </c>
      <c r="N12" t="str">
        <f t="shared" si="2"/>
        <v>NetherlandsManufacture of food products (C10)</v>
      </c>
      <c r="O12" s="11">
        <f>INDEX('Base de dados IHS'!$A$1:$V$676,MATCH($N12,'Base de dados IHS'!$C$1:$C$676,0),MATCH($O$1,'Base de dados IHS'!$A$1:$V$1,0))</f>
        <v>829203.89806390996</v>
      </c>
      <c r="P12" s="11">
        <f>INDEX('Base de dados IHS'!$A$1:$V$676,MATCH($N12,'Base de dados IHS'!$C$1:$C$676,0),MATCH($P$1,'Base de dados IHS'!$A$1:$V$1,0))</f>
        <v>928325.09368340997</v>
      </c>
      <c r="Q12" s="131">
        <f>INDEX('Base de dados IHS'!$A$1:$V$676,MATCH($N12,'Base de dados IHS'!$C$1:$C$676,0),MATCH($Q$1,'Base de dados IHS'!$A$1:$V$1,0))</f>
        <v>1.6669806406185796E-2</v>
      </c>
      <c r="R12" s="131">
        <f>INDEX('Base de dados IHS'!$A$1:$V$676,MATCH($N12,'Base de dados IHS'!$C$1:$C$676,0),MATCH($R$1,'Base de dados IHS'!$A$1:$V$1,0))</f>
        <v>1.4986786885849998E-2</v>
      </c>
      <c r="S12" s="131">
        <f>INDEX('Base de dados IHS'!$A$1:$V$676,MATCH($N12,'Base de dados IHS'!$C$1:$C$676,0),MATCH($S$1,'Base de dados IHS'!$A$1:$V$1,0))</f>
        <v>-1.6830195203357979E-3</v>
      </c>
      <c r="T12" t="str">
        <f>IF(Q12&lt;'Cenario A ranking setor PIB'!$G$16,"N","Y")</f>
        <v>N</v>
      </c>
    </row>
    <row r="13" spans="1:20" x14ac:dyDescent="0.45">
      <c r="A13" s="293" t="s">
        <v>102</v>
      </c>
      <c r="B13" s="297" t="s">
        <v>0</v>
      </c>
      <c r="C13" s="297" t="s">
        <v>958</v>
      </c>
      <c r="D13" s="311">
        <v>11633.436238390001</v>
      </c>
      <c r="E13" s="311">
        <v>19315.169739159999</v>
      </c>
      <c r="F13" s="302">
        <f t="shared" si="0"/>
        <v>0.66031509034454516</v>
      </c>
      <c r="G13" s="311">
        <v>17662.58409819</v>
      </c>
      <c r="H13" s="311">
        <v>19315.169739159999</v>
      </c>
      <c r="I13" s="302">
        <f t="shared" si="1"/>
        <v>9.3564205089296637E-2</v>
      </c>
      <c r="J13" s="311">
        <v>20529.80922938</v>
      </c>
      <c r="K13" s="311">
        <v>23419.543576280001</v>
      </c>
      <c r="L13" s="311">
        <v>26382.13308996</v>
      </c>
      <c r="M13" s="312">
        <v>34536.664751960001</v>
      </c>
      <c r="N13" t="str">
        <f t="shared" si="2"/>
        <v>NigeriaManufacture of food products (C10)</v>
      </c>
      <c r="O13" s="11">
        <f>INDEX('Base de dados IHS'!$A$1:$V$676,MATCH($N13,'Base de dados IHS'!$C$1:$C$676,0),MATCH($O$1,'Base de dados IHS'!$A$1:$V$1,0))</f>
        <v>460034.71302222001</v>
      </c>
      <c r="P13" s="11">
        <f>INDEX('Base de dados IHS'!$A$1:$V$676,MATCH($N13,'Base de dados IHS'!$C$1:$C$676,0),MATCH($P$1,'Base de dados IHS'!$A$1:$V$1,0))</f>
        <v>483780.49839321</v>
      </c>
      <c r="Q13" s="131">
        <f>INDEX('Base de dados IHS'!$A$1:$V$676,MATCH($N13,'Base de dados IHS'!$C$1:$C$676,0),MATCH($Q$1,'Base de dados IHS'!$A$1:$V$1,0))</f>
        <v>3.8394024620783097E-2</v>
      </c>
      <c r="R13" s="131">
        <f>INDEX('Base de dados IHS'!$A$1:$V$676,MATCH($N13,'Base de dados IHS'!$C$1:$C$676,0),MATCH($R$1,'Base de dados IHS'!$A$1:$V$1,0))</f>
        <v>3.9925482327857087E-2</v>
      </c>
      <c r="S13" s="131">
        <f>INDEX('Base de dados IHS'!$A$1:$V$676,MATCH($N13,'Base de dados IHS'!$C$1:$C$676,0),MATCH($S$1,'Base de dados IHS'!$A$1:$V$1,0))</f>
        <v>1.5314577070739896E-3</v>
      </c>
      <c r="T13" t="str">
        <f>IF(Q13&lt;'Cenario A ranking setor PIB'!$G$16,"N","Y")</f>
        <v>Y</v>
      </c>
    </row>
    <row r="14" spans="1:20" hidden="1" x14ac:dyDescent="0.45">
      <c r="A14" s="293" t="s">
        <v>907</v>
      </c>
      <c r="B14" s="297" t="s">
        <v>0</v>
      </c>
      <c r="C14" s="297" t="s">
        <v>958</v>
      </c>
      <c r="D14" s="311">
        <v>184399.03464741001</v>
      </c>
      <c r="E14" s="311">
        <v>377220.34075074003</v>
      </c>
      <c r="F14" s="302">
        <f t="shared" si="0"/>
        <v>1.0456741624055912</v>
      </c>
      <c r="G14" s="311">
        <v>279731.24911701999</v>
      </c>
      <c r="H14" s="311">
        <v>377220.34075074003</v>
      </c>
      <c r="I14" s="302">
        <f t="shared" si="1"/>
        <v>0.34850983557056003</v>
      </c>
      <c r="J14" s="311">
        <v>421195.36383246002</v>
      </c>
      <c r="K14" s="311">
        <v>466600.99604187999</v>
      </c>
      <c r="L14" s="311">
        <v>498884.48639661999</v>
      </c>
      <c r="M14" s="312">
        <v>551600.25732193002</v>
      </c>
      <c r="N14" t="str">
        <f t="shared" si="2"/>
        <v>ChinaManufacture of food products (C10)</v>
      </c>
      <c r="O14" s="11">
        <f>INDEX('Base de dados IHS'!$A$1:$V$676,MATCH($N14,'Base de dados IHS'!$C$1:$C$676,0),MATCH($O$1,'Base de dados IHS'!$A$1:$V$1,0))</f>
        <v>11048064.947659001</v>
      </c>
      <c r="P14" s="11">
        <f>INDEX('Base de dados IHS'!$A$1:$V$676,MATCH($N14,'Base de dados IHS'!$C$1:$C$676,0),MATCH($P$1,'Base de dados IHS'!$A$1:$V$1,0))</f>
        <v>15827750.501527</v>
      </c>
      <c r="Q14" s="131">
        <f>INDEX('Base de dados IHS'!$A$1:$V$676,MATCH($N14,'Base de dados IHS'!$C$1:$C$676,0),MATCH($Q$1,'Base de dados IHS'!$A$1:$V$1,0))</f>
        <v>2.5319479061923226E-2</v>
      </c>
      <c r="R14" s="131">
        <f>INDEX('Base de dados IHS'!$A$1:$V$676,MATCH($N14,'Base de dados IHS'!$C$1:$C$676,0),MATCH($R$1,'Base de dados IHS'!$A$1:$V$1,0))</f>
        <v>2.3832846032943673E-2</v>
      </c>
      <c r="S14" s="131">
        <f>INDEX('Base de dados IHS'!$A$1:$V$676,MATCH($N14,'Base de dados IHS'!$C$1:$C$676,0),MATCH($S$1,'Base de dados IHS'!$A$1:$V$1,0))</f>
        <v>-1.4866330289795525E-3</v>
      </c>
      <c r="T14" t="str">
        <f>IF(Q14&lt;'Cenario A ranking setor PIB'!$G$16,"N","Y")</f>
        <v>N</v>
      </c>
    </row>
    <row r="15" spans="1:20" x14ac:dyDescent="0.45">
      <c r="A15" s="293" t="s">
        <v>168</v>
      </c>
      <c r="B15" s="297" t="s">
        <v>0</v>
      </c>
      <c r="C15" s="297" t="s">
        <v>958</v>
      </c>
      <c r="D15" s="311">
        <v>1038.3551557799999</v>
      </c>
      <c r="E15" s="311">
        <v>1251.8408926300001</v>
      </c>
      <c r="F15" s="302">
        <f t="shared" si="0"/>
        <v>0.20559991989410631</v>
      </c>
      <c r="G15" s="311">
        <v>1168.62658263</v>
      </c>
      <c r="H15" s="311">
        <v>1251.8408926300001</v>
      </c>
      <c r="I15" s="302">
        <f t="shared" si="1"/>
        <v>7.1206928917127543E-2</v>
      </c>
      <c r="J15" s="311">
        <v>1315.22504779</v>
      </c>
      <c r="K15" s="311">
        <v>1516.8176612899999</v>
      </c>
      <c r="L15" s="311">
        <v>1680.1632916900001</v>
      </c>
      <c r="M15" s="312">
        <v>2144.04990206</v>
      </c>
      <c r="N15" t="str">
        <f t="shared" si="2"/>
        <v>TunisiaManufacture of food products (C10)</v>
      </c>
      <c r="O15" s="11">
        <f>INDEX('Base de dados IHS'!$A$1:$V$676,MATCH($N15,'Base de dados IHS'!$C$1:$C$676,0),MATCH($O$1,'Base de dados IHS'!$A$1:$V$1,0))</f>
        <v>38884.65391288</v>
      </c>
      <c r="P15" s="11">
        <f>INDEX('Base de dados IHS'!$A$1:$V$676,MATCH($N15,'Base de dados IHS'!$C$1:$C$676,0),MATCH($P$1,'Base de dados IHS'!$A$1:$V$1,0))</f>
        <v>40072.692608359997</v>
      </c>
      <c r="Q15" s="131">
        <f>INDEX('Base de dados IHS'!$A$1:$V$676,MATCH($N15,'Base de dados IHS'!$C$1:$C$676,0),MATCH($Q$1,'Base de dados IHS'!$A$1:$V$1,0))</f>
        <v>3.0053670665252052E-2</v>
      </c>
      <c r="R15" s="131">
        <f>INDEX('Base de dados IHS'!$A$1:$V$676,MATCH($N15,'Base de dados IHS'!$C$1:$C$676,0),MATCH($R$1,'Base de dados IHS'!$A$1:$V$1,0))</f>
        <v>3.1239250750243822E-2</v>
      </c>
      <c r="S15" s="131">
        <f>INDEX('Base de dados IHS'!$A$1:$V$676,MATCH($N15,'Base de dados IHS'!$C$1:$C$676,0),MATCH($S$1,'Base de dados IHS'!$A$1:$V$1,0))</f>
        <v>1.1855800849917691E-3</v>
      </c>
      <c r="T15" t="str">
        <f>IF(Q15&lt;'Cenario A ranking setor PIB'!$G$16,"N","Y")</f>
        <v>Y</v>
      </c>
    </row>
    <row r="16" spans="1:20" x14ac:dyDescent="0.45">
      <c r="A16" s="293" t="s">
        <v>169</v>
      </c>
      <c r="B16" s="297" t="s">
        <v>0</v>
      </c>
      <c r="C16" s="297" t="s">
        <v>958</v>
      </c>
      <c r="D16" s="311">
        <v>2101.8812017599998</v>
      </c>
      <c r="E16" s="311">
        <v>2931.7688963300002</v>
      </c>
      <c r="F16" s="302">
        <f t="shared" si="0"/>
        <v>0.39483092283003329</v>
      </c>
      <c r="G16" s="311">
        <v>2484.3205867299998</v>
      </c>
      <c r="H16" s="311">
        <v>2931.7688963300002</v>
      </c>
      <c r="I16" s="302">
        <f t="shared" si="1"/>
        <v>0.18010892474588247</v>
      </c>
      <c r="J16" s="311">
        <v>3628.3290350299999</v>
      </c>
      <c r="K16" s="311">
        <v>3941.5074857999998</v>
      </c>
      <c r="L16" s="311">
        <v>4152.5939049299996</v>
      </c>
      <c r="M16" s="312">
        <v>4695.9611634900002</v>
      </c>
      <c r="N16" t="str">
        <f t="shared" si="2"/>
        <v>Costa RicaManufacture of food products (C10)</v>
      </c>
      <c r="O16" s="11">
        <f>INDEX('Base de dados IHS'!$A$1:$V$676,MATCH($N16,'Base de dados IHS'!$C$1:$C$676,0),MATCH($O$1,'Base de dados IHS'!$A$1:$V$1,0))</f>
        <v>56790.776904650003</v>
      </c>
      <c r="P16" s="11">
        <f>INDEX('Base de dados IHS'!$A$1:$V$676,MATCH($N16,'Base de dados IHS'!$C$1:$C$676,0),MATCH($P$1,'Base de dados IHS'!$A$1:$V$1,0))</f>
        <v>66933.267445050005</v>
      </c>
      <c r="Q16" s="131">
        <f>INDEX('Base de dados IHS'!$A$1:$V$676,MATCH($N16,'Base de dados IHS'!$C$1:$C$676,0),MATCH($Q$1,'Base de dados IHS'!$A$1:$V$1,0))</f>
        <v>4.3745141766612892E-2</v>
      </c>
      <c r="R16" s="131">
        <f>INDEX('Base de dados IHS'!$A$1:$V$676,MATCH($N16,'Base de dados IHS'!$C$1:$C$676,0),MATCH($R$1,'Base de dados IHS'!$A$1:$V$1,0))</f>
        <v>4.380137124990776E-2</v>
      </c>
      <c r="S16" s="131">
        <f>INDEX('Base de dados IHS'!$A$1:$V$676,MATCH($N16,'Base de dados IHS'!$C$1:$C$676,0),MATCH($S$1,'Base de dados IHS'!$A$1:$V$1,0))</f>
        <v>5.6229483294867322E-5</v>
      </c>
      <c r="T16" t="str">
        <f>IF(Q16&lt;'Cenario A ranking setor PIB'!$G$16,"N","Y")</f>
        <v>Y</v>
      </c>
    </row>
    <row r="17" spans="1:20" hidden="1" x14ac:dyDescent="0.45">
      <c r="A17" s="293" t="s">
        <v>166</v>
      </c>
      <c r="B17" s="297" t="s">
        <v>0</v>
      </c>
      <c r="C17" s="297" t="s">
        <v>958</v>
      </c>
      <c r="D17" s="311">
        <v>447.494551</v>
      </c>
      <c r="E17" s="311">
        <v>649.28138105000005</v>
      </c>
      <c r="F17" s="302">
        <f t="shared" si="0"/>
        <v>0.450925781328676</v>
      </c>
      <c r="G17" s="311">
        <v>572.81984752000005</v>
      </c>
      <c r="H17" s="311">
        <v>649.28138105000005</v>
      </c>
      <c r="I17" s="302">
        <f t="shared" si="1"/>
        <v>0.13348268894843129</v>
      </c>
      <c r="J17" s="311">
        <v>738.16256456999997</v>
      </c>
      <c r="K17" s="311">
        <v>789.56750433000002</v>
      </c>
      <c r="L17" s="311">
        <v>836.00791656000001</v>
      </c>
      <c r="M17" s="312">
        <v>965.45794861000002</v>
      </c>
      <c r="N17" t="str">
        <f t="shared" si="2"/>
        <v>HondurasManufacture of food products (C10)</v>
      </c>
      <c r="O17" s="11">
        <f>INDEX('Base de dados IHS'!$A$1:$V$676,MATCH($N17,'Base de dados IHS'!$C$1:$C$676,0),MATCH($O$1,'Base de dados IHS'!$A$1:$V$1,0))</f>
        <v>21608.112082880001</v>
      </c>
      <c r="P17" s="11">
        <f>INDEX('Base de dados IHS'!$A$1:$V$676,MATCH($N17,'Base de dados IHS'!$C$1:$C$676,0),MATCH($P$1,'Base de dados IHS'!$A$1:$V$1,0))</f>
        <v>25703.55773198</v>
      </c>
      <c r="Q17" s="131">
        <f>INDEX('Base de dados IHS'!$A$1:$V$676,MATCH($N17,'Base de dados IHS'!$C$1:$C$676,0),MATCH($Q$1,'Base de dados IHS'!$A$1:$V$1,0))</f>
        <v>2.6509481500414947E-2</v>
      </c>
      <c r="R17" s="131">
        <f>INDEX('Base de dados IHS'!$A$1:$V$676,MATCH($N17,'Base de dados IHS'!$C$1:$C$676,0),MATCH($R$1,'Base de dados IHS'!$A$1:$V$1,0))</f>
        <v>2.526037009429918E-2</v>
      </c>
      <c r="S17" s="131">
        <f>INDEX('Base de dados IHS'!$A$1:$V$676,MATCH($N17,'Base de dados IHS'!$C$1:$C$676,0),MATCH($S$1,'Base de dados IHS'!$A$1:$V$1,0))</f>
        <v>-1.2491114061157667E-3</v>
      </c>
      <c r="T17" t="str">
        <f>IF(Q17&lt;'Cenario A ranking setor PIB'!$G$16,"N","Y")</f>
        <v>N</v>
      </c>
    </row>
    <row r="18" spans="1:20" hidden="1" x14ac:dyDescent="0.45">
      <c r="A18" s="293" t="s">
        <v>74</v>
      </c>
      <c r="B18" s="297" t="s">
        <v>0</v>
      </c>
      <c r="C18" s="297" t="s">
        <v>958</v>
      </c>
      <c r="D18" s="311">
        <v>4518.3228842999997</v>
      </c>
      <c r="E18" s="311">
        <v>3649.0134911300001</v>
      </c>
      <c r="F18" s="302">
        <f t="shared" si="0"/>
        <v>-0.19239647440660435</v>
      </c>
      <c r="G18" s="311">
        <v>3748.5039514700002</v>
      </c>
      <c r="H18" s="311">
        <v>3649.0134911300001</v>
      </c>
      <c r="I18" s="302">
        <f t="shared" si="1"/>
        <v>-2.6541378007880811E-2</v>
      </c>
      <c r="J18" s="311">
        <v>3831.24397322</v>
      </c>
      <c r="K18" s="311">
        <v>4059.7223763900001</v>
      </c>
      <c r="L18" s="311">
        <v>4181.1270233499999</v>
      </c>
      <c r="M18" s="312">
        <v>4509.7724170900001</v>
      </c>
      <c r="N18" t="str">
        <f t="shared" si="2"/>
        <v>SwedenManufacture of food products (C10)</v>
      </c>
      <c r="O18" s="11">
        <f>INDEX('Base de dados IHS'!$A$1:$V$676,MATCH($N18,'Base de dados IHS'!$C$1:$C$676,0),MATCH($O$1,'Base de dados IHS'!$A$1:$V$1,0))</f>
        <v>490179.06760786998</v>
      </c>
      <c r="P18" s="11">
        <f>INDEX('Base de dados IHS'!$A$1:$V$676,MATCH($N18,'Base de dados IHS'!$C$1:$C$676,0),MATCH($P$1,'Base de dados IHS'!$A$1:$V$1,0))</f>
        <v>552840.30345001002</v>
      </c>
      <c r="Q18" s="131">
        <f>INDEX('Base de dados IHS'!$A$1:$V$676,MATCH($N18,'Base de dados IHS'!$C$1:$C$676,0),MATCH($Q$1,'Base de dados IHS'!$A$1:$V$1,0))</f>
        <v>7.6472134352107875E-3</v>
      </c>
      <c r="R18" s="131">
        <f>INDEX('Base de dados IHS'!$A$1:$V$676,MATCH($N18,'Base de dados IHS'!$C$1:$C$676,0),MATCH($R$1,'Base de dados IHS'!$A$1:$V$1,0))</f>
        <v>6.6004838438121546E-3</v>
      </c>
      <c r="S18" s="131">
        <f>INDEX('Base de dados IHS'!$A$1:$V$676,MATCH($N18,'Base de dados IHS'!$C$1:$C$676,0),MATCH($S$1,'Base de dados IHS'!$A$1:$V$1,0))</f>
        <v>-1.0467295913986329E-3</v>
      </c>
      <c r="T18" t="str">
        <f>IF(Q18&lt;'Cenario A ranking setor PIB'!$G$16,"N","Y")</f>
        <v>N</v>
      </c>
    </row>
    <row r="19" spans="1:20" x14ac:dyDescent="0.45">
      <c r="A19" s="293" t="s">
        <v>147</v>
      </c>
      <c r="B19" s="297" t="s">
        <v>0</v>
      </c>
      <c r="C19" s="297" t="s">
        <v>958</v>
      </c>
      <c r="D19" s="311">
        <v>5462.1147952600004</v>
      </c>
      <c r="E19" s="311">
        <v>6800.0728830799999</v>
      </c>
      <c r="F19" s="302">
        <f t="shared" si="0"/>
        <v>0.24495239261193746</v>
      </c>
      <c r="G19" s="311">
        <v>5950.8417699299998</v>
      </c>
      <c r="H19" s="311">
        <v>6800.0728830799999</v>
      </c>
      <c r="I19" s="302">
        <f t="shared" si="1"/>
        <v>0.14270772875212745</v>
      </c>
      <c r="J19" s="311">
        <v>6628.3568677000003</v>
      </c>
      <c r="K19" s="311">
        <v>7587.0713111599998</v>
      </c>
      <c r="L19" s="311">
        <v>8461.4941653999995</v>
      </c>
      <c r="M19" s="312">
        <v>10970.052642299999</v>
      </c>
      <c r="N19" t="str">
        <f t="shared" si="2"/>
        <v>PeruManufacture of food products (C10)</v>
      </c>
      <c r="O19" s="11">
        <f>INDEX('Base de dados IHS'!$A$1:$V$676,MATCH($N19,'Base de dados IHS'!$C$1:$C$676,0),MATCH($O$1,'Base de dados IHS'!$A$1:$V$1,0))</f>
        <v>205342.67167914001</v>
      </c>
      <c r="P19" s="11">
        <f>INDEX('Base de dados IHS'!$A$1:$V$676,MATCH($N19,'Base de dados IHS'!$C$1:$C$676,0),MATCH($P$1,'Base de dados IHS'!$A$1:$V$1,0))</f>
        <v>235110.76142220001</v>
      </c>
      <c r="Q19" s="131">
        <f>INDEX('Base de dados IHS'!$A$1:$V$676,MATCH($N19,'Base de dados IHS'!$C$1:$C$676,0),MATCH($Q$1,'Base de dados IHS'!$A$1:$V$1,0))</f>
        <v>2.8980054273514761E-2</v>
      </c>
      <c r="R19" s="131">
        <f>INDEX('Base de dados IHS'!$A$1:$V$676,MATCH($N19,'Base de dados IHS'!$C$1:$C$676,0),MATCH($R$1,'Base de dados IHS'!$A$1:$V$1,0))</f>
        <v>2.8922848286254209E-2</v>
      </c>
      <c r="S19" s="131">
        <f>INDEX('Base de dados IHS'!$A$1:$V$676,MATCH($N19,'Base de dados IHS'!$C$1:$C$676,0),MATCH($S$1,'Base de dados IHS'!$A$1:$V$1,0))</f>
        <v>-5.7205987260552232E-5</v>
      </c>
      <c r="T19" t="str">
        <f>IF(Q19&lt;'Cenario A ranking setor PIB'!$G$16,"N","Y")</f>
        <v>Y</v>
      </c>
    </row>
    <row r="20" spans="1:20" hidden="1" x14ac:dyDescent="0.45">
      <c r="A20" s="293" t="s">
        <v>104</v>
      </c>
      <c r="B20" s="297" t="s">
        <v>0</v>
      </c>
      <c r="C20" s="297" t="s">
        <v>958</v>
      </c>
      <c r="D20" s="311">
        <v>13819.746060060001</v>
      </c>
      <c r="E20" s="311">
        <v>16381.755232240001</v>
      </c>
      <c r="F20" s="302">
        <f t="shared" si="0"/>
        <v>0.18538757232192427</v>
      </c>
      <c r="G20" s="311">
        <v>15321.49858478</v>
      </c>
      <c r="H20" s="311">
        <v>16381.755232240001</v>
      </c>
      <c r="I20" s="302">
        <f t="shared" si="1"/>
        <v>6.9200583845840935E-2</v>
      </c>
      <c r="J20" s="311">
        <v>17212.905975760001</v>
      </c>
      <c r="K20" s="311">
        <v>18838.114978680002</v>
      </c>
      <c r="L20" s="311">
        <v>20095.976833379998</v>
      </c>
      <c r="M20" s="312">
        <v>23593.125976660001</v>
      </c>
      <c r="N20" t="str">
        <f t="shared" si="2"/>
        <v>South KoreaManufacture of food products (C10)</v>
      </c>
      <c r="O20" s="11">
        <f>INDEX('Base de dados IHS'!$A$1:$V$676,MATCH($N20,'Base de dados IHS'!$C$1:$C$676,0),MATCH($O$1,'Base de dados IHS'!$A$1:$V$1,0))</f>
        <v>1478297.0807395</v>
      </c>
      <c r="P20" s="11">
        <f>INDEX('Base de dados IHS'!$A$1:$V$676,MATCH($N20,'Base de dados IHS'!$C$1:$C$676,0),MATCH($P$1,'Base de dados IHS'!$A$1:$V$1,0))</f>
        <v>1710728.7967964001</v>
      </c>
      <c r="Q20" s="131">
        <f>INDEX('Base de dados IHS'!$A$1:$V$676,MATCH($N20,'Base de dados IHS'!$C$1:$C$676,0),MATCH($Q$1,'Base de dados IHS'!$A$1:$V$1,0))</f>
        <v>1.0364289278793412E-2</v>
      </c>
      <c r="R20" s="131">
        <f>INDEX('Base de dados IHS'!$A$1:$V$676,MATCH($N20,'Base de dados IHS'!$C$1:$C$676,0),MATCH($R$1,'Base de dados IHS'!$A$1:$V$1,0))</f>
        <v>9.575892603735512E-3</v>
      </c>
      <c r="S20" s="131">
        <f>INDEX('Base de dados IHS'!$A$1:$V$676,MATCH($N20,'Base de dados IHS'!$C$1:$C$676,0),MATCH($S$1,'Base de dados IHS'!$A$1:$V$1,0))</f>
        <v>-7.8839667505790044E-4</v>
      </c>
      <c r="T20" t="str">
        <f>IF(Q20&lt;'Cenario A ranking setor PIB'!$G$16,"N","Y")</f>
        <v>N</v>
      </c>
    </row>
    <row r="21" spans="1:20" hidden="1" x14ac:dyDescent="0.45">
      <c r="A21" s="293" t="s">
        <v>123</v>
      </c>
      <c r="B21" s="297" t="s">
        <v>0</v>
      </c>
      <c r="C21" s="297" t="s">
        <v>958</v>
      </c>
      <c r="D21" s="311">
        <v>3687.1326467899999</v>
      </c>
      <c r="E21" s="311">
        <v>4536.3620226499997</v>
      </c>
      <c r="F21" s="302">
        <f t="shared" si="0"/>
        <v>0.23032243675836694</v>
      </c>
      <c r="G21" s="311">
        <v>3811.4336684599998</v>
      </c>
      <c r="H21" s="311">
        <v>4536.3620226499997</v>
      </c>
      <c r="I21" s="302">
        <f t="shared" si="1"/>
        <v>0.19019833932539765</v>
      </c>
      <c r="J21" s="311">
        <v>5087.4871345199999</v>
      </c>
      <c r="K21" s="311">
        <v>5618.3612687599998</v>
      </c>
      <c r="L21" s="311">
        <v>6060.4265518499997</v>
      </c>
      <c r="M21" s="312">
        <v>7307.0013284200004</v>
      </c>
      <c r="N21" t="str">
        <f t="shared" si="2"/>
        <v>IsraelManufacture of food products (C10)</v>
      </c>
      <c r="O21" s="11">
        <f>INDEX('Base de dados IHS'!$A$1:$V$676,MATCH($N21,'Base de dados IHS'!$C$1:$C$676,0),MATCH($O$1,'Base de dados IHS'!$A$1:$V$1,0))</f>
        <v>339252.33917334001</v>
      </c>
      <c r="P21" s="11">
        <f>INDEX('Base de dados IHS'!$A$1:$V$676,MATCH($N21,'Base de dados IHS'!$C$1:$C$676,0),MATCH($P$1,'Base de dados IHS'!$A$1:$V$1,0))</f>
        <v>430314.68651226</v>
      </c>
      <c r="Q21" s="131">
        <f>INDEX('Base de dados IHS'!$A$1:$V$676,MATCH($N21,'Base de dados IHS'!$C$1:$C$676,0),MATCH($Q$1,'Base de dados IHS'!$A$1:$V$1,0))</f>
        <v>1.1234804387045239E-2</v>
      </c>
      <c r="R21" s="131">
        <f>INDEX('Base de dados IHS'!$A$1:$V$676,MATCH($N21,'Base de dados IHS'!$C$1:$C$676,0),MATCH($R$1,'Base de dados IHS'!$A$1:$V$1,0))</f>
        <v>1.0541964206282686E-2</v>
      </c>
      <c r="S21" s="131">
        <f>INDEX('Base de dados IHS'!$A$1:$V$676,MATCH($N21,'Base de dados IHS'!$C$1:$C$676,0),MATCH($S$1,'Base de dados IHS'!$A$1:$V$1,0))</f>
        <v>-6.9284018076255262E-4</v>
      </c>
      <c r="T21" t="str">
        <f>IF(Q21&lt;'Cenario A ranking setor PIB'!$G$16,"N","Y")</f>
        <v>N</v>
      </c>
    </row>
    <row r="22" spans="1:20" hidden="1" x14ac:dyDescent="0.45">
      <c r="A22" s="293" t="s">
        <v>143</v>
      </c>
      <c r="B22" s="297" t="s">
        <v>0</v>
      </c>
      <c r="C22" s="297" t="s">
        <v>958</v>
      </c>
      <c r="D22" s="311">
        <v>1665.0392243199999</v>
      </c>
      <c r="E22" s="311">
        <v>1769.39132462</v>
      </c>
      <c r="F22" s="302">
        <f t="shared" si="0"/>
        <v>6.267245766694618E-2</v>
      </c>
      <c r="G22" s="311">
        <v>1890.7854566799999</v>
      </c>
      <c r="H22" s="311">
        <v>1769.39132462</v>
      </c>
      <c r="I22" s="302">
        <f t="shared" si="1"/>
        <v>-6.4203017656563777E-2</v>
      </c>
      <c r="J22" s="311">
        <v>1725.5094228</v>
      </c>
      <c r="K22" s="311">
        <v>1834.9150762300001</v>
      </c>
      <c r="L22" s="311">
        <v>1913.6158213399999</v>
      </c>
      <c r="M22" s="312">
        <v>2118.7355751099999</v>
      </c>
      <c r="N22" t="str">
        <f t="shared" si="2"/>
        <v>United Arab EmiratesManufacture of food products (C10)</v>
      </c>
      <c r="O22" s="11">
        <f>INDEX('Base de dados IHS'!$A$1:$V$676,MATCH($N22,'Base de dados IHS'!$C$1:$C$676,0),MATCH($O$1,'Base de dados IHS'!$A$1:$V$1,0))</f>
        <v>383753.13090967003</v>
      </c>
      <c r="P22" s="11">
        <f>INDEX('Base de dados IHS'!$A$1:$V$676,MATCH($N22,'Base de dados IHS'!$C$1:$C$676,0),MATCH($P$1,'Base de dados IHS'!$A$1:$V$1,0))</f>
        <v>414599.77007557999</v>
      </c>
      <c r="Q22" s="131">
        <f>INDEX('Base de dados IHS'!$A$1:$V$676,MATCH($N22,'Base de dados IHS'!$C$1:$C$676,0),MATCH($Q$1,'Base de dados IHS'!$A$1:$V$1,0))</f>
        <v>4.9270880271334219E-3</v>
      </c>
      <c r="R22" s="131">
        <f>INDEX('Base de dados IHS'!$A$1:$V$676,MATCH($N22,'Base de dados IHS'!$C$1:$C$676,0),MATCH($R$1,'Base de dados IHS'!$A$1:$V$1,0))</f>
        <v>4.2677093725774296E-3</v>
      </c>
      <c r="S22" s="131">
        <f>INDEX('Base de dados IHS'!$A$1:$V$676,MATCH($N22,'Base de dados IHS'!$C$1:$C$676,0),MATCH($S$1,'Base de dados IHS'!$A$1:$V$1,0))</f>
        <v>-6.5937865455599227E-4</v>
      </c>
      <c r="T22" t="str">
        <f>IF(Q22&lt;'Cenario A ranking setor PIB'!$G$16,"N","Y")</f>
        <v>N</v>
      </c>
    </row>
    <row r="23" spans="1:20" hidden="1" x14ac:dyDescent="0.45">
      <c r="A23" s="293" t="s">
        <v>152</v>
      </c>
      <c r="B23" s="297" t="s">
        <v>0</v>
      </c>
      <c r="C23" s="297" t="s">
        <v>958</v>
      </c>
      <c r="D23" s="311">
        <v>6034.3412192899996</v>
      </c>
      <c r="E23" s="311">
        <v>7543.6241250200001</v>
      </c>
      <c r="F23" s="302">
        <f t="shared" si="0"/>
        <v>0.25011560514762921</v>
      </c>
      <c r="G23" s="311">
        <v>6851.4946397000003</v>
      </c>
      <c r="H23" s="311">
        <v>7543.6241250200001</v>
      </c>
      <c r="I23" s="302">
        <f t="shared" si="1"/>
        <v>0.10101875893028578</v>
      </c>
      <c r="J23" s="311">
        <v>8812.0582843200009</v>
      </c>
      <c r="K23" s="311">
        <v>9989.6415176499995</v>
      </c>
      <c r="L23" s="311">
        <v>10956.35472288</v>
      </c>
      <c r="M23" s="312">
        <v>13641.88621749</v>
      </c>
      <c r="N23" t="str">
        <f t="shared" si="2"/>
        <v>ColombiaManufacture of food products (C10)</v>
      </c>
      <c r="O23" s="11">
        <f>INDEX('Base de dados IHS'!$A$1:$V$676,MATCH($N23,'Base de dados IHS'!$C$1:$C$676,0),MATCH($O$1,'Base de dados IHS'!$A$1:$V$1,0))</f>
        <v>295018.32730579999</v>
      </c>
      <c r="P23" s="11">
        <f>INDEX('Base de dados IHS'!$A$1:$V$676,MATCH($N23,'Base de dados IHS'!$C$1:$C$676,0),MATCH($P$1,'Base de dados IHS'!$A$1:$V$1,0))</f>
        <v>332655.81031924998</v>
      </c>
      <c r="Q23" s="131">
        <f>INDEX('Base de dados IHS'!$A$1:$V$676,MATCH($N23,'Base de dados IHS'!$C$1:$C$676,0),MATCH($Q$1,'Base de dados IHS'!$A$1:$V$1,0))</f>
        <v>2.3223962735705272E-2</v>
      </c>
      <c r="R23" s="131">
        <f>INDEX('Base de dados IHS'!$A$1:$V$676,MATCH($N23,'Base de dados IHS'!$C$1:$C$676,0),MATCH($R$1,'Base de dados IHS'!$A$1:$V$1,0))</f>
        <v>2.2676964871830674E-2</v>
      </c>
      <c r="S23" s="131">
        <f>INDEX('Base de dados IHS'!$A$1:$V$676,MATCH($N23,'Base de dados IHS'!$C$1:$C$676,0),MATCH($S$1,'Base de dados IHS'!$A$1:$V$1,0))</f>
        <v>-5.4699786387459731E-4</v>
      </c>
      <c r="T23" t="str">
        <f>IF(Q23&lt;'Cenario A ranking setor PIB'!$G$16,"N","Y")</f>
        <v>N</v>
      </c>
    </row>
    <row r="24" spans="1:20" hidden="1" x14ac:dyDescent="0.45">
      <c r="A24" s="293" t="s">
        <v>97</v>
      </c>
      <c r="B24" s="297" t="s">
        <v>0</v>
      </c>
      <c r="C24" s="297" t="s">
        <v>958</v>
      </c>
      <c r="D24" s="311">
        <v>37710.639685299997</v>
      </c>
      <c r="E24" s="311">
        <v>42812.240424230004</v>
      </c>
      <c r="F24" s="302">
        <f t="shared" si="0"/>
        <v>0.13528279502823337</v>
      </c>
      <c r="G24" s="311">
        <v>41805.287833659997</v>
      </c>
      <c r="H24" s="311">
        <v>42812.240424230004</v>
      </c>
      <c r="I24" s="302">
        <f t="shared" si="1"/>
        <v>2.4086727845926914E-2</v>
      </c>
      <c r="J24" s="311">
        <v>43231.480925830001</v>
      </c>
      <c r="K24" s="311">
        <v>44904.834749430003</v>
      </c>
      <c r="L24" s="311">
        <v>46713.407128259998</v>
      </c>
      <c r="M24" s="312">
        <v>52305.193650180001</v>
      </c>
      <c r="N24" t="str">
        <f t="shared" si="2"/>
        <v>FranceManufacture of food products (C10)</v>
      </c>
      <c r="O24" s="11">
        <f>INDEX('Base de dados IHS'!$A$1:$V$676,MATCH($N24,'Base de dados IHS'!$C$1:$C$676,0),MATCH($O$1,'Base de dados IHS'!$A$1:$V$1,0))</f>
        <v>2544956.5086996001</v>
      </c>
      <c r="P24" s="11">
        <f>INDEX('Base de dados IHS'!$A$1:$V$676,MATCH($N24,'Base de dados IHS'!$C$1:$C$676,0),MATCH($P$1,'Base de dados IHS'!$A$1:$V$1,0))</f>
        <v>2682424.2983101001</v>
      </c>
      <c r="Q24" s="131">
        <f>INDEX('Base de dados IHS'!$A$1:$V$676,MATCH($N24,'Base de dados IHS'!$C$1:$C$676,0),MATCH($Q$1,'Base de dados IHS'!$A$1:$V$1,0))</f>
        <v>1.6426719942267815E-2</v>
      </c>
      <c r="R24" s="131">
        <f>INDEX('Base de dados IHS'!$A$1:$V$676,MATCH($N24,'Base de dados IHS'!$C$1:$C$676,0),MATCH($R$1,'Base de dados IHS'!$A$1:$V$1,0))</f>
        <v>1.5960279084558427E-2</v>
      </c>
      <c r="S24" s="131">
        <f>INDEX('Base de dados IHS'!$A$1:$V$676,MATCH($N24,'Base de dados IHS'!$C$1:$C$676,0),MATCH($S$1,'Base de dados IHS'!$A$1:$V$1,0))</f>
        <v>-4.6644085770938815E-4</v>
      </c>
      <c r="T24" t="str">
        <f>IF(Q24&lt;'Cenario A ranking setor PIB'!$G$16,"N","Y")</f>
        <v>N</v>
      </c>
    </row>
    <row r="25" spans="1:20" hidden="1" x14ac:dyDescent="0.45">
      <c r="A25" s="293" t="s">
        <v>162</v>
      </c>
      <c r="B25" s="297" t="s">
        <v>0</v>
      </c>
      <c r="C25" s="297" t="s">
        <v>958</v>
      </c>
      <c r="D25" s="311">
        <v>1458.4942839800001</v>
      </c>
      <c r="E25" s="311">
        <v>1962.4076570899999</v>
      </c>
      <c r="F25" s="302">
        <f t="shared" si="0"/>
        <v>0.34550246692424458</v>
      </c>
      <c r="G25" s="311">
        <v>1663.90096008</v>
      </c>
      <c r="H25" s="311">
        <v>1962.4076570899999</v>
      </c>
      <c r="I25" s="302">
        <f t="shared" si="1"/>
        <v>0.17940172172005231</v>
      </c>
      <c r="J25" s="311">
        <v>2203.6696313500001</v>
      </c>
      <c r="K25" s="311">
        <v>2310.40749942</v>
      </c>
      <c r="L25" s="311">
        <v>2369.17110211</v>
      </c>
      <c r="M25" s="312">
        <v>2460.1484358100001</v>
      </c>
      <c r="N25" t="str">
        <f t="shared" si="2"/>
        <v>RomaniaManufacture of food products (C10)</v>
      </c>
      <c r="O25" s="11">
        <f>INDEX('Base de dados IHS'!$A$1:$V$676,MATCH($N25,'Base de dados IHS'!$C$1:$C$676,0),MATCH($O$1,'Base de dados IHS'!$A$1:$V$1,0))</f>
        <v>204518.17392167001</v>
      </c>
      <c r="P25" s="11">
        <f>INDEX('Base de dados IHS'!$A$1:$V$676,MATCH($N25,'Base de dados IHS'!$C$1:$C$676,0),MATCH($P$1,'Base de dados IHS'!$A$1:$V$1,0))</f>
        <v>254974.25152873</v>
      </c>
      <c r="Q25" s="131">
        <f>INDEX('Base de dados IHS'!$A$1:$V$676,MATCH($N25,'Base de dados IHS'!$C$1:$C$676,0),MATCH($Q$1,'Base de dados IHS'!$A$1:$V$1,0))</f>
        <v>8.1357119916260854E-3</v>
      </c>
      <c r="R25" s="131">
        <f>INDEX('Base de dados IHS'!$A$1:$V$676,MATCH($N25,'Base de dados IHS'!$C$1:$C$676,0),MATCH($R$1,'Base de dados IHS'!$A$1:$V$1,0))</f>
        <v>7.6964934511000206E-3</v>
      </c>
      <c r="S25" s="131">
        <f>INDEX('Base de dados IHS'!$A$1:$V$676,MATCH($N25,'Base de dados IHS'!$C$1:$C$676,0),MATCH($S$1,'Base de dados IHS'!$A$1:$V$1,0))</f>
        <v>-4.3921854052606478E-4</v>
      </c>
      <c r="T25" t="str">
        <f>IF(Q25&lt;'Cenario A ranking setor PIB'!$G$16,"N","Y")</f>
        <v>N</v>
      </c>
    </row>
    <row r="26" spans="1:20" hidden="1" x14ac:dyDescent="0.45">
      <c r="A26" s="293" t="s">
        <v>98</v>
      </c>
      <c r="B26" s="297" t="s">
        <v>0</v>
      </c>
      <c r="C26" s="297" t="s">
        <v>958</v>
      </c>
      <c r="D26" s="311">
        <v>39304.695855960003</v>
      </c>
      <c r="E26" s="311">
        <v>40356.684352149998</v>
      </c>
      <c r="F26" s="302">
        <f t="shared" si="0"/>
        <v>2.6764957043433624E-2</v>
      </c>
      <c r="G26" s="311">
        <v>39335.667721780002</v>
      </c>
      <c r="H26" s="311">
        <v>40356.684352149998</v>
      </c>
      <c r="I26" s="302">
        <f t="shared" si="1"/>
        <v>2.5956509435447028E-2</v>
      </c>
      <c r="J26" s="311">
        <v>41347.5282085</v>
      </c>
      <c r="K26" s="311">
        <v>42381.932599</v>
      </c>
      <c r="L26" s="311">
        <v>43319.253523910003</v>
      </c>
      <c r="M26" s="312">
        <v>45486.957061419998</v>
      </c>
      <c r="N26" t="str">
        <f t="shared" si="2"/>
        <v>GermanyManufacture of food products (C10)</v>
      </c>
      <c r="O26" s="11">
        <f>INDEX('Base de dados IHS'!$A$1:$V$676,MATCH($N26,'Base de dados IHS'!$C$1:$C$676,0),MATCH($O$1,'Base de dados IHS'!$A$1:$V$1,0))</f>
        <v>3626843.1759532001</v>
      </c>
      <c r="P26" s="11">
        <f>INDEX('Base de dados IHS'!$A$1:$V$676,MATCH($N26,'Base de dados IHS'!$C$1:$C$676,0),MATCH($P$1,'Base de dados IHS'!$A$1:$V$1,0))</f>
        <v>3849084.4984781002</v>
      </c>
      <c r="Q26" s="131">
        <f>INDEX('Base de dados IHS'!$A$1:$V$676,MATCH($N26,'Base de dados IHS'!$C$1:$C$676,0),MATCH($Q$1,'Base de dados IHS'!$A$1:$V$1,0))</f>
        <v>1.0845704049897849E-2</v>
      </c>
      <c r="R26" s="131">
        <f>INDEX('Base de dados IHS'!$A$1:$V$676,MATCH($N26,'Base de dados IHS'!$C$1:$C$676,0),MATCH($R$1,'Base de dados IHS'!$A$1:$V$1,0))</f>
        <v>1.048474887161005E-2</v>
      </c>
      <c r="S26" s="131">
        <f>INDEX('Base de dados IHS'!$A$1:$V$676,MATCH($N26,'Base de dados IHS'!$C$1:$C$676,0),MATCH($S$1,'Base de dados IHS'!$A$1:$V$1,0))</f>
        <v>-3.6095517828779906E-4</v>
      </c>
      <c r="T26" t="str">
        <f>IF(Q26&lt;'Cenario A ranking setor PIB'!$G$16,"N","Y")</f>
        <v>N</v>
      </c>
    </row>
    <row r="27" spans="1:20" hidden="1" x14ac:dyDescent="0.45">
      <c r="A27" s="293" t="s">
        <v>178</v>
      </c>
      <c r="B27" s="297" t="s">
        <v>0</v>
      </c>
      <c r="C27" s="297" t="s">
        <v>958</v>
      </c>
      <c r="D27" s="311">
        <v>231.90800553</v>
      </c>
      <c r="E27" s="311">
        <v>280.92733263000002</v>
      </c>
      <c r="F27" s="302">
        <f t="shared" si="0"/>
        <v>0.21137401871044426</v>
      </c>
      <c r="G27" s="311">
        <v>212.52658847000001</v>
      </c>
      <c r="H27" s="311">
        <v>280.92733263000002</v>
      </c>
      <c r="I27" s="302">
        <f t="shared" si="1"/>
        <v>0.32184558483916659</v>
      </c>
      <c r="J27" s="311">
        <v>377.15905570000001</v>
      </c>
      <c r="K27" s="311">
        <v>471.64443229</v>
      </c>
      <c r="L27" s="311">
        <v>555.40413267999998</v>
      </c>
      <c r="M27" s="312">
        <v>822.32694272000003</v>
      </c>
      <c r="N27" t="str">
        <f t="shared" si="2"/>
        <v>SenegalManufacture of food products (C10)</v>
      </c>
      <c r="O27" s="11">
        <f>INDEX('Base de dados IHS'!$A$1:$V$676,MATCH($N27,'Base de dados IHS'!$C$1:$C$676,0),MATCH($O$1,'Base de dados IHS'!$A$1:$V$1,0))</f>
        <v>18437.455260710001</v>
      </c>
      <c r="P27" s="11">
        <f>INDEX('Base de dados IHS'!$A$1:$V$676,MATCH($N27,'Base de dados IHS'!$C$1:$C$676,0),MATCH($P$1,'Base de dados IHS'!$A$1:$V$1,0))</f>
        <v>25150.80803964</v>
      </c>
      <c r="Q27" s="131">
        <f>INDEX('Base de dados IHS'!$A$1:$V$676,MATCH($N27,'Base de dados IHS'!$C$1:$C$676,0),MATCH($Q$1,'Base de dados IHS'!$A$1:$V$1,0))</f>
        <v>1.1526893785765092E-2</v>
      </c>
      <c r="R27" s="131">
        <f>INDEX('Base de dados IHS'!$A$1:$V$676,MATCH($N27,'Base de dados IHS'!$C$1:$C$676,0),MATCH($R$1,'Base de dados IHS'!$A$1:$V$1,0))</f>
        <v>1.1169713998342819E-2</v>
      </c>
      <c r="S27" s="131">
        <f>INDEX('Base de dados IHS'!$A$1:$V$676,MATCH($N27,'Base de dados IHS'!$C$1:$C$676,0),MATCH($S$1,'Base de dados IHS'!$A$1:$V$1,0))</f>
        <v>-3.5717978742227235E-4</v>
      </c>
      <c r="T27" t="str">
        <f>IF(Q27&lt;'Cenario A ranking setor PIB'!$G$16,"N","Y")</f>
        <v>N</v>
      </c>
    </row>
    <row r="28" spans="1:20" hidden="1" x14ac:dyDescent="0.45">
      <c r="A28" s="293" t="s">
        <v>118</v>
      </c>
      <c r="B28" s="297" t="s">
        <v>0</v>
      </c>
      <c r="C28" s="297" t="s">
        <v>958</v>
      </c>
      <c r="D28" s="311">
        <v>7122.5837485700004</v>
      </c>
      <c r="E28" s="311">
        <v>8069.1774681099996</v>
      </c>
      <c r="F28" s="302">
        <f t="shared" si="0"/>
        <v>0.13290032844191502</v>
      </c>
      <c r="G28" s="311">
        <v>7607.7294137899999</v>
      </c>
      <c r="H28" s="311">
        <v>8069.1774681099996</v>
      </c>
      <c r="I28" s="302">
        <f t="shared" si="1"/>
        <v>6.0655161247397338E-2</v>
      </c>
      <c r="J28" s="311">
        <v>8672.0313634199993</v>
      </c>
      <c r="K28" s="311">
        <v>9997.5980404999991</v>
      </c>
      <c r="L28" s="311">
        <v>10909.45721448</v>
      </c>
      <c r="M28" s="312">
        <v>14121.85578308</v>
      </c>
      <c r="N28" t="str">
        <f t="shared" si="2"/>
        <v>BelgiumManufacture of food products (C10)</v>
      </c>
      <c r="O28" s="11">
        <f>INDEX('Base de dados IHS'!$A$1:$V$676,MATCH($N28,'Base de dados IHS'!$C$1:$C$676,0),MATCH($O$1,'Base de dados IHS'!$A$1:$V$1,0))</f>
        <v>500331.50984029</v>
      </c>
      <c r="P28" s="11">
        <f>INDEX('Base de dados IHS'!$A$1:$V$676,MATCH($N28,'Base de dados IHS'!$C$1:$C$676,0),MATCH($P$1,'Base de dados IHS'!$A$1:$V$1,0))</f>
        <v>542439.84157398995</v>
      </c>
      <c r="Q28" s="131">
        <f>INDEX('Base de dados IHS'!$A$1:$V$676,MATCH($N28,'Base de dados IHS'!$C$1:$C$676,0),MATCH($Q$1,'Base de dados IHS'!$A$1:$V$1,0))</f>
        <v>1.5205377363137594E-2</v>
      </c>
      <c r="R28" s="131">
        <f>INDEX('Base de dados IHS'!$A$1:$V$676,MATCH($N28,'Base de dados IHS'!$C$1:$C$676,0),MATCH($R$1,'Base de dados IHS'!$A$1:$V$1,0))</f>
        <v>1.4875709432949804E-2</v>
      </c>
      <c r="S28" s="131">
        <f>INDEX('Base de dados IHS'!$A$1:$V$676,MATCH($N28,'Base de dados IHS'!$C$1:$C$676,0),MATCH($S$1,'Base de dados IHS'!$A$1:$V$1,0))</f>
        <v>-3.2966793018779014E-4</v>
      </c>
      <c r="T28" t="str">
        <f>IF(Q28&lt;'Cenario A ranking setor PIB'!$G$16,"N","Y")</f>
        <v>N</v>
      </c>
    </row>
    <row r="29" spans="1:20" hidden="1" x14ac:dyDescent="0.45">
      <c r="A29" s="293" t="s">
        <v>120</v>
      </c>
      <c r="B29" s="297" t="s">
        <v>0</v>
      </c>
      <c r="C29" s="297" t="s">
        <v>958</v>
      </c>
      <c r="D29" s="311">
        <v>14248.63200689</v>
      </c>
      <c r="E29" s="311">
        <v>15744.963470950001</v>
      </c>
      <c r="F29" s="302">
        <f t="shared" si="0"/>
        <v>0.10501579824199547</v>
      </c>
      <c r="G29" s="311">
        <v>14111.55665199</v>
      </c>
      <c r="H29" s="311">
        <v>15744.963470950001</v>
      </c>
      <c r="I29" s="302">
        <f t="shared" si="1"/>
        <v>0.11574958448894135</v>
      </c>
      <c r="J29" s="311">
        <v>17168.313517250001</v>
      </c>
      <c r="K29" s="311">
        <v>19350.253662110001</v>
      </c>
      <c r="L29" s="311">
        <v>21149.80804675</v>
      </c>
      <c r="M29" s="312">
        <v>26546.962206799999</v>
      </c>
      <c r="N29" t="str">
        <f t="shared" si="2"/>
        <v>AustraliaManufacture of food products (C10)</v>
      </c>
      <c r="O29" s="11">
        <f>INDEX('Base de dados IHS'!$A$1:$V$676,MATCH($N29,'Base de dados IHS'!$C$1:$C$676,0),MATCH($O$1,'Base de dados IHS'!$A$1:$V$1,0))</f>
        <v>1256563.3075111001</v>
      </c>
      <c r="P29" s="11">
        <f>INDEX('Base de dados IHS'!$A$1:$V$676,MATCH($N29,'Base de dados IHS'!$C$1:$C$676,0),MATCH($P$1,'Base de dados IHS'!$A$1:$V$1,0))</f>
        <v>1430586.2916371</v>
      </c>
      <c r="Q29" s="131">
        <f>INDEX('Base de dados IHS'!$A$1:$V$676,MATCH($N29,'Base de dados IHS'!$C$1:$C$676,0),MATCH($Q$1,'Base de dados IHS'!$A$1:$V$1,0))</f>
        <v>1.1230279101449366E-2</v>
      </c>
      <c r="R29" s="131">
        <f>INDEX('Base de dados IHS'!$A$1:$V$676,MATCH($N29,'Base de dados IHS'!$C$1:$C$676,0),MATCH($R$1,'Base de dados IHS'!$A$1:$V$1,0))</f>
        <v>1.1005951589912242E-2</v>
      </c>
      <c r="S29" s="131">
        <f>INDEX('Base de dados IHS'!$A$1:$V$676,MATCH($N29,'Base de dados IHS'!$C$1:$C$676,0),MATCH($S$1,'Base de dados IHS'!$A$1:$V$1,0))</f>
        <v>-2.2432751153712328E-4</v>
      </c>
      <c r="T29" t="str">
        <f>IF(Q29&lt;'Cenario A ranking setor PIB'!$G$16,"N","Y")</f>
        <v>N</v>
      </c>
    </row>
    <row r="30" spans="1:20" hidden="1" x14ac:dyDescent="0.45">
      <c r="A30" s="293" t="s">
        <v>126</v>
      </c>
      <c r="B30" s="297" t="s">
        <v>0</v>
      </c>
      <c r="C30" s="297" t="s">
        <v>958</v>
      </c>
      <c r="D30" s="311">
        <v>2983.5452639800001</v>
      </c>
      <c r="E30" s="311">
        <v>2690.71047206</v>
      </c>
      <c r="F30" s="302">
        <f t="shared" si="0"/>
        <v>-9.8149941097043447E-2</v>
      </c>
      <c r="G30" s="311">
        <v>2500.8963952300001</v>
      </c>
      <c r="H30" s="311">
        <v>2690.71047206</v>
      </c>
      <c r="I30" s="302">
        <f t="shared" si="1"/>
        <v>7.5898416740507679E-2</v>
      </c>
      <c r="J30" s="311">
        <v>2689.6332308800002</v>
      </c>
      <c r="K30" s="311">
        <v>2672.5089803699998</v>
      </c>
      <c r="L30" s="311">
        <v>2678.9965867000001</v>
      </c>
      <c r="M30" s="312">
        <v>2709.1388102599999</v>
      </c>
      <c r="N30" t="str">
        <f t="shared" si="2"/>
        <v>FinlandManufacture of food products (C10)</v>
      </c>
      <c r="O30" s="11">
        <f>INDEX('Base de dados IHS'!$A$1:$V$676,MATCH($N30,'Base de dados IHS'!$C$1:$C$676,0),MATCH($O$1,'Base de dados IHS'!$A$1:$V$1,0))</f>
        <v>247207.29862345001</v>
      </c>
      <c r="P30" s="11">
        <f>INDEX('Base de dados IHS'!$A$1:$V$676,MATCH($N30,'Base de dados IHS'!$C$1:$C$676,0),MATCH($P$1,'Base de dados IHS'!$A$1:$V$1,0))</f>
        <v>270499.52733732999</v>
      </c>
      <c r="Q30" s="131">
        <f>INDEX('Base de dados IHS'!$A$1:$V$676,MATCH($N30,'Base de dados IHS'!$C$1:$C$676,0),MATCH($Q$1,'Base de dados IHS'!$A$1:$V$1,0))</f>
        <v>1.0116596108432074E-2</v>
      </c>
      <c r="R30" s="131">
        <f>INDEX('Base de dados IHS'!$A$1:$V$676,MATCH($N30,'Base de dados IHS'!$C$1:$C$676,0),MATCH($R$1,'Base de dados IHS'!$A$1:$V$1,0))</f>
        <v>9.9471910304098771E-3</v>
      </c>
      <c r="S30" s="131">
        <f>INDEX('Base de dados IHS'!$A$1:$V$676,MATCH($N30,'Base de dados IHS'!$C$1:$C$676,0),MATCH($S$1,'Base de dados IHS'!$A$1:$V$1,0))</f>
        <v>-1.6940507802219729E-4</v>
      </c>
      <c r="T30" t="str">
        <f>IF(Q30&lt;'Cenario A ranking setor PIB'!$G$16,"N","Y")</f>
        <v>N</v>
      </c>
    </row>
    <row r="31" spans="1:20" hidden="1" x14ac:dyDescent="0.45">
      <c r="A31" s="293" t="s">
        <v>121</v>
      </c>
      <c r="B31" s="297" t="s">
        <v>0</v>
      </c>
      <c r="C31" s="297" t="s">
        <v>958</v>
      </c>
      <c r="D31" s="311">
        <v>1982.71405293</v>
      </c>
      <c r="E31" s="311">
        <v>2220.3224570500001</v>
      </c>
      <c r="F31" s="302">
        <f t="shared" si="0"/>
        <v>0.11983997579926831</v>
      </c>
      <c r="G31" s="311">
        <v>1918.27000406</v>
      </c>
      <c r="H31" s="311">
        <v>2220.3224570500001</v>
      </c>
      <c r="I31" s="302">
        <f t="shared" si="1"/>
        <v>0.15746086439902052</v>
      </c>
      <c r="J31" s="311">
        <v>2578.9127933300001</v>
      </c>
      <c r="K31" s="311">
        <v>2870.7447874700001</v>
      </c>
      <c r="L31" s="311">
        <v>3082.4246316899998</v>
      </c>
      <c r="M31" s="312">
        <v>3703.1488371300002</v>
      </c>
      <c r="N31" t="str">
        <f t="shared" si="2"/>
        <v>SingaporeManufacture of food products (C10)</v>
      </c>
      <c r="O31" s="11">
        <f>INDEX('Base de dados IHS'!$A$1:$V$676,MATCH($N31,'Base de dados IHS'!$C$1:$C$676,0),MATCH($O$1,'Base de dados IHS'!$A$1:$V$1,0))</f>
        <v>331298.98374970001</v>
      </c>
      <c r="P31" s="11">
        <f>INDEX('Base de dados IHS'!$A$1:$V$676,MATCH($N31,'Base de dados IHS'!$C$1:$C$676,0),MATCH($P$1,'Base de dados IHS'!$A$1:$V$1,0))</f>
        <v>394237.177708</v>
      </c>
      <c r="Q31" s="131">
        <f>INDEX('Base de dados IHS'!$A$1:$V$676,MATCH($N31,'Base de dados IHS'!$C$1:$C$676,0),MATCH($Q$1,'Base de dados IHS'!$A$1:$V$1,0))</f>
        <v>5.7901475650443705E-3</v>
      </c>
      <c r="R31" s="131">
        <f>INDEX('Base de dados IHS'!$A$1:$V$676,MATCH($N31,'Base de dados IHS'!$C$1:$C$676,0),MATCH($R$1,'Base de dados IHS'!$A$1:$V$1,0))</f>
        <v>5.6319459010903544E-3</v>
      </c>
      <c r="S31" s="131">
        <f>INDEX('Base de dados IHS'!$A$1:$V$676,MATCH($N31,'Base de dados IHS'!$C$1:$C$676,0),MATCH($S$1,'Base de dados IHS'!$A$1:$V$1,0))</f>
        <v>-1.5820166395401607E-4</v>
      </c>
      <c r="T31" t="str">
        <f>IF(Q31&lt;'Cenario A ranking setor PIB'!$G$16,"N","Y")</f>
        <v>N</v>
      </c>
    </row>
    <row r="32" spans="1:20" x14ac:dyDescent="0.45">
      <c r="A32" s="293" t="s">
        <v>109</v>
      </c>
      <c r="B32" s="297" t="s">
        <v>0</v>
      </c>
      <c r="C32" s="297" t="s">
        <v>958</v>
      </c>
      <c r="D32" s="311">
        <v>15352.702050010001</v>
      </c>
      <c r="E32" s="311">
        <v>15715.27093604</v>
      </c>
      <c r="F32" s="302">
        <f t="shared" si="0"/>
        <v>2.3615965766089042E-2</v>
      </c>
      <c r="G32" s="311">
        <v>14819.308173519999</v>
      </c>
      <c r="H32" s="311">
        <v>15715.27093604</v>
      </c>
      <c r="I32" s="302">
        <f t="shared" si="1"/>
        <v>6.0459149106633747E-2</v>
      </c>
      <c r="J32" s="311">
        <v>18704.66555537</v>
      </c>
      <c r="K32" s="311">
        <v>22254.99480751</v>
      </c>
      <c r="L32" s="311">
        <v>24659.211409200001</v>
      </c>
      <c r="M32" s="312">
        <v>31163.27637843</v>
      </c>
      <c r="N32" t="str">
        <f t="shared" si="2"/>
        <v>ThailandManufacture of food products (C10)</v>
      </c>
      <c r="O32" s="11">
        <f>INDEX('Base de dados IHS'!$A$1:$V$676,MATCH($N32,'Base de dados IHS'!$C$1:$C$676,0),MATCH($O$1,'Base de dados IHS'!$A$1:$V$1,0))</f>
        <v>474324.68093352998</v>
      </c>
      <c r="P32" s="11">
        <f>INDEX('Base de dados IHS'!$A$1:$V$676,MATCH($N32,'Base de dados IHS'!$C$1:$C$676,0),MATCH($P$1,'Base de dados IHS'!$A$1:$V$1,0))</f>
        <v>518585.14704719</v>
      </c>
      <c r="Q32" s="131">
        <f>INDEX('Base de dados IHS'!$A$1:$V$676,MATCH($N32,'Base de dados IHS'!$C$1:$C$676,0),MATCH($Q$1,'Base de dados IHS'!$A$1:$V$1,0))</f>
        <v>3.1242962403629847E-2</v>
      </c>
      <c r="R32" s="131">
        <f>INDEX('Base de dados IHS'!$A$1:$V$676,MATCH($N32,'Base de dados IHS'!$C$1:$C$676,0),MATCH($R$1,'Base de dados IHS'!$A$1:$V$1,0))</f>
        <v>3.0304128503337077E-2</v>
      </c>
      <c r="S32" s="131">
        <f>INDEX('Base de dados IHS'!$A$1:$V$676,MATCH($N32,'Base de dados IHS'!$C$1:$C$676,0),MATCH($S$1,'Base de dados IHS'!$A$1:$V$1,0))</f>
        <v>-9.3883390029277092E-4</v>
      </c>
      <c r="T32" t="str">
        <f>IF(Q32&lt;'Cenario A ranking setor PIB'!$G$16,"N","Y")</f>
        <v>Y</v>
      </c>
    </row>
    <row r="33" spans="1:20" hidden="1" x14ac:dyDescent="0.45">
      <c r="A33" s="293" t="s">
        <v>154</v>
      </c>
      <c r="B33" s="297" t="s">
        <v>0</v>
      </c>
      <c r="C33" s="297" t="s">
        <v>958</v>
      </c>
      <c r="D33" s="311">
        <v>3575.86774371</v>
      </c>
      <c r="E33" s="311">
        <v>6016.5561872500002</v>
      </c>
      <c r="F33" s="302">
        <f t="shared" si="0"/>
        <v>0.68254438320130939</v>
      </c>
      <c r="G33" s="311">
        <v>4780.4382053999998</v>
      </c>
      <c r="H33" s="311">
        <v>6016.5561872500002</v>
      </c>
      <c r="I33" s="302">
        <f t="shared" si="1"/>
        <v>0.25857838313936932</v>
      </c>
      <c r="J33" s="311">
        <v>7497.7378784700004</v>
      </c>
      <c r="K33" s="311">
        <v>9468.1413463000008</v>
      </c>
      <c r="L33" s="311">
        <v>11097.91829921</v>
      </c>
      <c r="M33" s="312">
        <v>16335.40202499</v>
      </c>
      <c r="N33" t="str">
        <f t="shared" si="2"/>
        <v>PakistanManufacture of food products (C10)</v>
      </c>
      <c r="O33" s="11">
        <f>INDEX('Base de dados IHS'!$A$1:$V$676,MATCH($N33,'Base de dados IHS'!$C$1:$C$676,0),MATCH($O$1,'Base de dados IHS'!$A$1:$V$1,0))</f>
        <v>243681.57424943999</v>
      </c>
      <c r="P33" s="11">
        <f>INDEX('Base de dados IHS'!$A$1:$V$676,MATCH($N33,'Base de dados IHS'!$C$1:$C$676,0),MATCH($P$1,'Base de dados IHS'!$A$1:$V$1,0))</f>
        <v>307178.14587732003</v>
      </c>
      <c r="Q33" s="131">
        <f>INDEX('Base de dados IHS'!$A$1:$V$676,MATCH($N33,'Base de dados IHS'!$C$1:$C$676,0),MATCH($Q$1,'Base de dados IHS'!$A$1:$V$1,0))</f>
        <v>1.9617561237956365E-2</v>
      </c>
      <c r="R33" s="131">
        <f>INDEX('Base de dados IHS'!$A$1:$V$676,MATCH($N33,'Base de dados IHS'!$C$1:$C$676,0),MATCH($R$1,'Base de dados IHS'!$A$1:$V$1,0))</f>
        <v>1.9586537219522367E-2</v>
      </c>
      <c r="S33" s="131">
        <f>INDEX('Base de dados IHS'!$A$1:$V$676,MATCH($N33,'Base de dados IHS'!$C$1:$C$676,0),MATCH($S$1,'Base de dados IHS'!$A$1:$V$1,0))</f>
        <v>-3.1024018433998407E-5</v>
      </c>
      <c r="T33" t="str">
        <f>IF(Q33&lt;'Cenario A ranking setor PIB'!$G$16,"N","Y")</f>
        <v>N</v>
      </c>
    </row>
    <row r="34" spans="1:20" hidden="1" x14ac:dyDescent="0.45">
      <c r="A34" s="293" t="s">
        <v>167</v>
      </c>
      <c r="B34" s="297" t="s">
        <v>0</v>
      </c>
      <c r="C34" s="297" t="s">
        <v>958</v>
      </c>
      <c r="D34" s="311">
        <v>819.06834464999997</v>
      </c>
      <c r="E34" s="311">
        <v>1048.9146399900001</v>
      </c>
      <c r="F34" s="302">
        <f t="shared" ref="F34:F65" si="3">H34/D34-1</f>
        <v>0.2806191898897239</v>
      </c>
      <c r="G34" s="311">
        <v>982.83918559000006</v>
      </c>
      <c r="H34" s="311">
        <v>1048.9146399900001</v>
      </c>
      <c r="I34" s="302">
        <f t="shared" ref="I34:I65" si="4">H34/G34-1</f>
        <v>6.7229161564549056E-2</v>
      </c>
      <c r="J34" s="311">
        <v>1168.3306780999999</v>
      </c>
      <c r="K34" s="311">
        <v>1214.6052190099999</v>
      </c>
      <c r="L34" s="311">
        <v>1242.44834765</v>
      </c>
      <c r="M34" s="312">
        <v>1344.6400969599999</v>
      </c>
      <c r="N34" t="str">
        <f t="shared" ref="N34:N65" si="5">A34&amp;B34</f>
        <v>Hong Kong SARManufacture of food products (C10)</v>
      </c>
      <c r="O34" s="11">
        <f>INDEX('Base de dados IHS'!$A$1:$V$676,MATCH($N34,'Base de dados IHS'!$C$1:$C$676,0),MATCH($O$1,'Base de dados IHS'!$A$1:$V$1,0))</f>
        <v>338559.97086627001</v>
      </c>
      <c r="P34" s="11">
        <f>INDEX('Base de dados IHS'!$A$1:$V$676,MATCH($N34,'Base de dados IHS'!$C$1:$C$676,0),MATCH($P$1,'Base de dados IHS'!$A$1:$V$1,0))</f>
        <v>361197.76240428002</v>
      </c>
      <c r="Q34" s="131">
        <f>INDEX('Base de dados IHS'!$A$1:$V$676,MATCH($N34,'Base de dados IHS'!$C$1:$C$676,0),MATCH($Q$1,'Base de dados IHS'!$A$1:$V$1,0))</f>
        <v>2.9029987894765566E-3</v>
      </c>
      <c r="R34" s="131">
        <f>INDEX('Base de dados IHS'!$A$1:$V$676,MATCH($N34,'Base de dados IHS'!$C$1:$C$676,0),MATCH($R$1,'Base de dados IHS'!$A$1:$V$1,0))</f>
        <v>2.9039898614210543E-3</v>
      </c>
      <c r="S34" s="131">
        <f>INDEX('Base de dados IHS'!$A$1:$V$676,MATCH($N34,'Base de dados IHS'!$C$1:$C$676,0),MATCH($S$1,'Base de dados IHS'!$A$1:$V$1,0))</f>
        <v>9.9107194449776781E-7</v>
      </c>
      <c r="T34" t="str">
        <f>IF(Q34&lt;'Cenario A ranking setor PIB'!$G$16,"N","Y")</f>
        <v>N</v>
      </c>
    </row>
    <row r="35" spans="1:20" hidden="1" x14ac:dyDescent="0.45">
      <c r="A35" s="293" t="s">
        <v>161</v>
      </c>
      <c r="B35" s="297" t="s">
        <v>0</v>
      </c>
      <c r="C35" s="297" t="s">
        <v>958</v>
      </c>
      <c r="D35" s="311">
        <v>2879.7838642699999</v>
      </c>
      <c r="E35" s="311">
        <v>3335.2328219800002</v>
      </c>
      <c r="F35" s="302">
        <f t="shared" si="3"/>
        <v>0.15815386819852639</v>
      </c>
      <c r="G35" s="311">
        <v>3082.7208929200001</v>
      </c>
      <c r="H35" s="311">
        <v>3335.2328219800002</v>
      </c>
      <c r="I35" s="302">
        <f t="shared" si="4"/>
        <v>8.1912030907480782E-2</v>
      </c>
      <c r="J35" s="311">
        <v>3651.65921523</v>
      </c>
      <c r="K35" s="311">
        <v>3815.5744622500001</v>
      </c>
      <c r="L35" s="311">
        <v>3888.3770906999998</v>
      </c>
      <c r="M35" s="312">
        <v>4174.4358508100004</v>
      </c>
      <c r="N35" t="str">
        <f t="shared" si="5"/>
        <v>PortugalManufacture of food products (C10)</v>
      </c>
      <c r="O35" s="11">
        <f>INDEX('Base de dados IHS'!$A$1:$V$676,MATCH($N35,'Base de dados IHS'!$C$1:$C$676,0),MATCH($O$1,'Base de dados IHS'!$A$1:$V$1,0))</f>
        <v>215192.52938671</v>
      </c>
      <c r="P35" s="11">
        <f>INDEX('Base de dados IHS'!$A$1:$V$676,MATCH($N35,'Base de dados IHS'!$C$1:$C$676,0),MATCH($P$1,'Base de dados IHS'!$A$1:$V$1,0))</f>
        <v>232686.90641277001</v>
      </c>
      <c r="Q35" s="131">
        <f>INDEX('Base de dados IHS'!$A$1:$V$676,MATCH($N35,'Base de dados IHS'!$C$1:$C$676,0),MATCH($Q$1,'Base de dados IHS'!$A$1:$V$1,0))</f>
        <v>1.4325408515368215E-2</v>
      </c>
      <c r="R35" s="131">
        <f>INDEX('Base de dados IHS'!$A$1:$V$676,MATCH($N35,'Base de dados IHS'!$C$1:$C$676,0),MATCH($R$1,'Base de dados IHS'!$A$1:$V$1,0))</f>
        <v>1.4333564674513891E-2</v>
      </c>
      <c r="S35" s="131">
        <f>INDEX('Base de dados IHS'!$A$1:$V$676,MATCH($N35,'Base de dados IHS'!$C$1:$C$676,0),MATCH($S$1,'Base de dados IHS'!$A$1:$V$1,0))</f>
        <v>8.1561591456762866E-6</v>
      </c>
      <c r="T35" t="str">
        <f>IF(Q35&lt;'Cenario A ranking setor PIB'!$G$16,"N","Y")</f>
        <v>N</v>
      </c>
    </row>
    <row r="36" spans="1:20" hidden="1" x14ac:dyDescent="0.45">
      <c r="A36" s="293" t="s">
        <v>141</v>
      </c>
      <c r="B36" s="297" t="s">
        <v>0</v>
      </c>
      <c r="C36" s="297" t="s">
        <v>958</v>
      </c>
      <c r="D36" s="311">
        <v>175946.06590493</v>
      </c>
      <c r="E36" s="311">
        <v>203806.92660328001</v>
      </c>
      <c r="F36" s="302">
        <f t="shared" si="3"/>
        <v>0.15834886989405161</v>
      </c>
      <c r="G36" s="311">
        <v>178390.12277294</v>
      </c>
      <c r="H36" s="311">
        <v>203806.92660328001</v>
      </c>
      <c r="I36" s="302">
        <f t="shared" si="4"/>
        <v>0.14247876191380415</v>
      </c>
      <c r="J36" s="311">
        <v>220087.24293278999</v>
      </c>
      <c r="K36" s="311">
        <v>227738.71327593</v>
      </c>
      <c r="L36" s="311">
        <v>236309.6418666</v>
      </c>
      <c r="M36" s="312">
        <v>259487.35351129001</v>
      </c>
      <c r="N36" t="str">
        <f t="shared" si="5"/>
        <v>United StatesManufacture of food products (C10)</v>
      </c>
      <c r="O36" s="11">
        <f>INDEX('Base de dados IHS'!$A$1:$V$676,MATCH($N36,'Base de dados IHS'!$C$1:$C$676,0),MATCH($O$1,'Base de dados IHS'!$A$1:$V$1,0))</f>
        <v>19553083.060252</v>
      </c>
      <c r="P36" s="11">
        <f>INDEX('Base de dados IHS'!$A$1:$V$676,MATCH($N36,'Base de dados IHS'!$C$1:$C$676,0),MATCH($P$1,'Base de dados IHS'!$A$1:$V$1,0))</f>
        <v>22265681.170655001</v>
      </c>
      <c r="Q36" s="131">
        <f>INDEX('Base de dados IHS'!$A$1:$V$676,MATCH($N36,'Base de dados IHS'!$C$1:$C$676,0),MATCH($Q$1,'Base de dados IHS'!$A$1:$V$1,0))</f>
        <v>9.1233756959574284E-3</v>
      </c>
      <c r="R36" s="131">
        <f>INDEX('Base de dados IHS'!$A$1:$V$676,MATCH($N36,'Base de dados IHS'!$C$1:$C$676,0),MATCH($R$1,'Base de dados IHS'!$A$1:$V$1,0))</f>
        <v>9.1534108047808954E-3</v>
      </c>
      <c r="S36" s="131">
        <f>INDEX('Base de dados IHS'!$A$1:$V$676,MATCH($N36,'Base de dados IHS'!$C$1:$C$676,0),MATCH($S$1,'Base de dados IHS'!$A$1:$V$1,0))</f>
        <v>3.0035108823467035E-5</v>
      </c>
      <c r="T36" t="str">
        <f>IF(Q36&lt;'Cenario A ranking setor PIB'!$G$16,"N","Y")</f>
        <v>N</v>
      </c>
    </row>
    <row r="37" spans="1:20" hidden="1" x14ac:dyDescent="0.45">
      <c r="A37" s="293" t="s">
        <v>100</v>
      </c>
      <c r="B37" s="297" t="s">
        <v>0</v>
      </c>
      <c r="C37" s="297" t="s">
        <v>958</v>
      </c>
      <c r="D37" s="311">
        <v>73260.781624020005</v>
      </c>
      <c r="E37" s="311">
        <v>79760.641151029995</v>
      </c>
      <c r="F37" s="302">
        <f t="shared" si="3"/>
        <v>8.8722224673601913E-2</v>
      </c>
      <c r="G37" s="311">
        <v>78804.872216920005</v>
      </c>
      <c r="H37" s="311">
        <v>79760.641151029995</v>
      </c>
      <c r="I37" s="302">
        <f t="shared" si="4"/>
        <v>1.2128297492560058E-2</v>
      </c>
      <c r="J37" s="311">
        <v>81158.530593989999</v>
      </c>
      <c r="K37" s="311">
        <v>84498.2301401</v>
      </c>
      <c r="L37" s="311">
        <v>86971.968353839999</v>
      </c>
      <c r="M37" s="312">
        <v>93777.110501489995</v>
      </c>
      <c r="N37" t="str">
        <f t="shared" si="5"/>
        <v>JapanManufacture of food products (C10)</v>
      </c>
      <c r="O37" s="11">
        <f>INDEX('Base de dados IHS'!$A$1:$V$676,MATCH($N37,'Base de dados IHS'!$C$1:$C$676,0),MATCH($O$1,'Base de dados IHS'!$A$1:$V$1,0))</f>
        <v>4983596.864085</v>
      </c>
      <c r="P37" s="11">
        <f>INDEX('Base de dados IHS'!$A$1:$V$676,MATCH($N37,'Base de dados IHS'!$C$1:$C$676,0),MATCH($P$1,'Base de dados IHS'!$A$1:$V$1,0))</f>
        <v>5032370.4042106001</v>
      </c>
      <c r="Q37" s="131">
        <f>INDEX('Base de dados IHS'!$A$1:$V$676,MATCH($N37,'Base de dados IHS'!$C$1:$C$676,0),MATCH($Q$1,'Base de dados IHS'!$A$1:$V$1,0))</f>
        <v>1.5812850510609822E-2</v>
      </c>
      <c r="R37" s="131">
        <f>INDEX('Base de dados IHS'!$A$1:$V$676,MATCH($N37,'Base de dados IHS'!$C$1:$C$676,0),MATCH($R$1,'Base de dados IHS'!$A$1:$V$1,0))</f>
        <v>1.5849517174708366E-2</v>
      </c>
      <c r="S37" s="131">
        <f>INDEX('Base de dados IHS'!$A$1:$V$676,MATCH($N37,'Base de dados IHS'!$C$1:$C$676,0),MATCH($S$1,'Base de dados IHS'!$A$1:$V$1,0))</f>
        <v>3.6666664098544688E-5</v>
      </c>
      <c r="T37" t="str">
        <f>IF(Q37&lt;'Cenario A ranking setor PIB'!$G$16,"N","Y")</f>
        <v>N</v>
      </c>
    </row>
    <row r="38" spans="1:20" hidden="1" x14ac:dyDescent="0.45">
      <c r="A38" s="293" t="s">
        <v>70</v>
      </c>
      <c r="B38" s="297" t="s">
        <v>0</v>
      </c>
      <c r="C38" s="297" t="s">
        <v>958</v>
      </c>
      <c r="D38" s="311">
        <v>11143.624994899999</v>
      </c>
      <c r="E38" s="311">
        <v>17014.879256880002</v>
      </c>
      <c r="F38" s="302">
        <f t="shared" si="3"/>
        <v>0.52687112718411155</v>
      </c>
      <c r="G38" s="311">
        <v>12864.320780669999</v>
      </c>
      <c r="H38" s="311">
        <v>17014.879256880002</v>
      </c>
      <c r="I38" s="302">
        <f t="shared" si="4"/>
        <v>0.32264108979983264</v>
      </c>
      <c r="J38" s="311">
        <v>22246.479093900001</v>
      </c>
      <c r="K38" s="311">
        <v>30765.530694159999</v>
      </c>
      <c r="L38" s="311">
        <v>37819.748206589997</v>
      </c>
      <c r="M38" s="312">
        <v>58258.836072719998</v>
      </c>
      <c r="N38" t="str">
        <f t="shared" si="5"/>
        <v>IndiaManufacture of food products (C10)</v>
      </c>
      <c r="O38" s="11">
        <f>INDEX('Base de dados IHS'!$A$1:$V$676,MATCH($N38,'Base de dados IHS'!$C$1:$C$676,0),MATCH($O$1,'Base de dados IHS'!$A$1:$V$1,0))</f>
        <v>2233583.9807687998</v>
      </c>
      <c r="P38" s="11">
        <f>INDEX('Base de dados IHS'!$A$1:$V$676,MATCH($N38,'Base de dados IHS'!$C$1:$C$676,0),MATCH($P$1,'Base de dados IHS'!$A$1:$V$1,0))</f>
        <v>2928405.219999</v>
      </c>
      <c r="Q38" s="131">
        <f>INDEX('Base de dados IHS'!$A$1:$V$676,MATCH($N38,'Base de dados IHS'!$C$1:$C$676,0),MATCH($Q$1,'Base de dados IHS'!$A$1:$V$1,0))</f>
        <v>5.7594972436371518E-3</v>
      </c>
      <c r="R38" s="131">
        <f>INDEX('Base de dados IHS'!$A$1:$V$676,MATCH($N38,'Base de dados IHS'!$C$1:$C$676,0),MATCH($R$1,'Base de dados IHS'!$A$1:$V$1,0))</f>
        <v>5.8102885286093744E-3</v>
      </c>
      <c r="S38" s="131">
        <f>INDEX('Base de dados IHS'!$A$1:$V$676,MATCH($N38,'Base de dados IHS'!$C$1:$C$676,0),MATCH($S$1,'Base de dados IHS'!$A$1:$V$1,0))</f>
        <v>5.0791284972222586E-5</v>
      </c>
      <c r="T38" t="str">
        <f>IF(Q38&lt;'Cenario A ranking setor PIB'!$G$16,"N","Y")</f>
        <v>N</v>
      </c>
    </row>
    <row r="39" spans="1:20" x14ac:dyDescent="0.45">
      <c r="A39" s="293" t="s">
        <v>174</v>
      </c>
      <c r="B39" s="297" t="s">
        <v>0</v>
      </c>
      <c r="C39" s="297" t="s">
        <v>958</v>
      </c>
      <c r="D39" s="311">
        <v>4953.2577694800002</v>
      </c>
      <c r="E39" s="311">
        <v>2653.2230527400002</v>
      </c>
      <c r="F39" s="302">
        <f t="shared" si="3"/>
        <v>-0.46434787442557446</v>
      </c>
      <c r="G39" s="311">
        <v>2462.8119544900001</v>
      </c>
      <c r="H39" s="311">
        <v>2653.2230527400002</v>
      </c>
      <c r="I39" s="302">
        <f t="shared" si="4"/>
        <v>7.7314509499134987E-2</v>
      </c>
      <c r="J39" s="311">
        <v>2561.0891299099999</v>
      </c>
      <c r="K39" s="311">
        <v>2968.6023153800002</v>
      </c>
      <c r="L39" s="311">
        <v>3318.79153116</v>
      </c>
      <c r="M39" s="312">
        <v>4296.38468964</v>
      </c>
      <c r="N39" t="str">
        <f t="shared" si="5"/>
        <v>Sri LankaManufacture of food products (C10)</v>
      </c>
      <c r="O39" s="11">
        <f>INDEX('Base de dados IHS'!$A$1:$V$676,MATCH($N39,'Base de dados IHS'!$C$1:$C$676,0),MATCH($O$1,'Base de dados IHS'!$A$1:$V$1,0))</f>
        <v>77969.257644440004</v>
      </c>
      <c r="P39" s="11">
        <f>INDEX('Base de dados IHS'!$A$1:$V$676,MATCH($N39,'Base de dados IHS'!$C$1:$C$676,0),MATCH($P$1,'Base de dados IHS'!$A$1:$V$1,0))</f>
        <v>87884.425158479993</v>
      </c>
      <c r="Q39" s="131">
        <f>INDEX('Base de dados IHS'!$A$1:$V$676,MATCH($N39,'Base de dados IHS'!$C$1:$C$676,0),MATCH($Q$1,'Base de dados IHS'!$A$1:$V$1,0))</f>
        <v>3.1586961693556966E-2</v>
      </c>
      <c r="R39" s="131">
        <f>INDEX('Base de dados IHS'!$A$1:$V$676,MATCH($N39,'Base de dados IHS'!$C$1:$C$676,0),MATCH($R$1,'Base de dados IHS'!$A$1:$V$1,0))</f>
        <v>3.0189911897989925E-2</v>
      </c>
      <c r="S39" s="131">
        <f>INDEX('Base de dados IHS'!$A$1:$V$676,MATCH($N39,'Base de dados IHS'!$C$1:$C$676,0),MATCH($S$1,'Base de dados IHS'!$A$1:$V$1,0))</f>
        <v>-1.3970497955670402E-3</v>
      </c>
      <c r="T39" t="str">
        <f>IF(Q39&lt;'Cenario A ranking setor PIB'!$G$16,"N","Y")</f>
        <v>Y</v>
      </c>
    </row>
    <row r="40" spans="1:20" hidden="1" x14ac:dyDescent="0.45">
      <c r="A40" s="293" t="s">
        <v>63</v>
      </c>
      <c r="B40" s="297" t="s">
        <v>0</v>
      </c>
      <c r="C40" s="297" t="s">
        <v>958</v>
      </c>
      <c r="D40" s="311">
        <v>18889.67004773</v>
      </c>
      <c r="E40" s="311">
        <v>22047.590886890001</v>
      </c>
      <c r="F40" s="302">
        <f t="shared" si="3"/>
        <v>0.1671771307376273</v>
      </c>
      <c r="G40" s="311">
        <v>20108.87993273</v>
      </c>
      <c r="H40" s="311">
        <v>22047.590886890001</v>
      </c>
      <c r="I40" s="302">
        <f t="shared" si="4"/>
        <v>9.6410688245468945E-2</v>
      </c>
      <c r="J40" s="311">
        <v>23381.377809189999</v>
      </c>
      <c r="K40" s="311">
        <v>24728.955300770001</v>
      </c>
      <c r="L40" s="311">
        <v>25834.60986579</v>
      </c>
      <c r="M40" s="312">
        <v>29024.75225641</v>
      </c>
      <c r="N40" t="str">
        <f t="shared" si="5"/>
        <v>CanadaManufacture of food products (C10)</v>
      </c>
      <c r="O40" s="11">
        <f>INDEX('Base de dados IHS'!$A$1:$V$676,MATCH($N40,'Base de dados IHS'!$C$1:$C$676,0),MATCH($O$1,'Base de dados IHS'!$A$1:$V$1,0))</f>
        <v>1599989.9756132001</v>
      </c>
      <c r="P40" s="11">
        <f>INDEX('Base de dados IHS'!$A$1:$V$676,MATCH($N40,'Base de dados IHS'!$C$1:$C$676,0),MATCH($P$1,'Base de dados IHS'!$A$1:$V$1,0))</f>
        <v>1743385.5162593001</v>
      </c>
      <c r="Q40" s="131">
        <f>INDEX('Base de dados IHS'!$A$1:$V$676,MATCH($N40,'Base de dados IHS'!$C$1:$C$676,0),MATCH($Q$1,'Base de dados IHS'!$A$1:$V$1,0))</f>
        <v>1.2568128700320902E-2</v>
      </c>
      <c r="R40" s="131">
        <f>INDEX('Base de dados IHS'!$A$1:$V$676,MATCH($N40,'Base de dados IHS'!$C$1:$C$676,0),MATCH($R$1,'Base de dados IHS'!$A$1:$V$1,0))</f>
        <v>1.2646423112540521E-2</v>
      </c>
      <c r="S40" s="131">
        <f>INDEX('Base de dados IHS'!$A$1:$V$676,MATCH($N40,'Base de dados IHS'!$C$1:$C$676,0),MATCH($S$1,'Base de dados IHS'!$A$1:$V$1,0))</f>
        <v>7.8294412219619136E-5</v>
      </c>
      <c r="T40" t="str">
        <f>IF(Q40&lt;'Cenario A ranking setor PIB'!$G$16,"N","Y")</f>
        <v>N</v>
      </c>
    </row>
    <row r="41" spans="1:20" hidden="1" x14ac:dyDescent="0.45">
      <c r="A41" s="293" t="s">
        <v>108</v>
      </c>
      <c r="B41" s="297" t="s">
        <v>0</v>
      </c>
      <c r="C41" s="297" t="s">
        <v>958</v>
      </c>
      <c r="D41" s="311">
        <v>6382.7500348499998</v>
      </c>
      <c r="E41" s="311">
        <v>10495.88761184</v>
      </c>
      <c r="F41" s="302">
        <f t="shared" si="3"/>
        <v>0.64441464173469898</v>
      </c>
      <c r="G41" s="311">
        <v>7941.2494320200003</v>
      </c>
      <c r="H41" s="311">
        <v>10495.88761184</v>
      </c>
      <c r="I41" s="302">
        <f t="shared" si="4"/>
        <v>0.32169222257638896</v>
      </c>
      <c r="J41" s="311">
        <v>11833.75601567</v>
      </c>
      <c r="K41" s="311">
        <v>13208.574547869999</v>
      </c>
      <c r="L41" s="311">
        <v>14426.948602390001</v>
      </c>
      <c r="M41" s="312">
        <v>17901.18336191</v>
      </c>
      <c r="N41" t="str">
        <f t="shared" si="5"/>
        <v>TurkeyManufacture of food products (C10)</v>
      </c>
      <c r="O41" s="11">
        <f>INDEX('Base de dados IHS'!$A$1:$V$676,MATCH($N41,'Base de dados IHS'!$C$1:$C$676,0),MATCH($O$1,'Base de dados IHS'!$A$1:$V$1,0))</f>
        <v>659235.83503077005</v>
      </c>
      <c r="P41" s="11">
        <f>INDEX('Base de dados IHS'!$A$1:$V$676,MATCH($N41,'Base de dados IHS'!$C$1:$C$676,0),MATCH($P$1,'Base de dados IHS'!$A$1:$V$1,0))</f>
        <v>865088.75381619995</v>
      </c>
      <c r="Q41" s="131">
        <f>INDEX('Base de dados IHS'!$A$1:$V$676,MATCH($N41,'Base de dados IHS'!$C$1:$C$676,0),MATCH($Q$1,'Base de dados IHS'!$A$1:$V$1,0))</f>
        <v>1.2046143443718195E-2</v>
      </c>
      <c r="R41" s="131">
        <f>INDEX('Base de dados IHS'!$A$1:$V$676,MATCH($N41,'Base de dados IHS'!$C$1:$C$676,0),MATCH($R$1,'Base de dados IHS'!$A$1:$V$1,0))</f>
        <v>1.2132729232161531E-2</v>
      </c>
      <c r="S41" s="131">
        <f>INDEX('Base de dados IHS'!$A$1:$V$676,MATCH($N41,'Base de dados IHS'!$C$1:$C$676,0),MATCH($S$1,'Base de dados IHS'!$A$1:$V$1,0))</f>
        <v>8.6585788443336795E-5</v>
      </c>
      <c r="T41" t="str">
        <f>IF(Q41&lt;'Cenario A ranking setor PIB'!$G$16,"N","Y")</f>
        <v>N</v>
      </c>
    </row>
    <row r="42" spans="1:20" hidden="1" x14ac:dyDescent="0.45">
      <c r="A42" s="293" t="s">
        <v>77</v>
      </c>
      <c r="B42" s="297" t="s">
        <v>0</v>
      </c>
      <c r="C42" s="297" t="s">
        <v>958</v>
      </c>
      <c r="D42" s="311">
        <v>28117.414663340001</v>
      </c>
      <c r="E42" s="311">
        <v>23736.6183934</v>
      </c>
      <c r="F42" s="302">
        <f t="shared" si="3"/>
        <v>-0.15580366553585612</v>
      </c>
      <c r="G42" s="311">
        <v>22576.864587020002</v>
      </c>
      <c r="H42" s="311">
        <v>23736.6183934</v>
      </c>
      <c r="I42" s="302">
        <f t="shared" si="4"/>
        <v>5.1369126209259708E-2</v>
      </c>
      <c r="J42" s="311">
        <v>23695.305350049999</v>
      </c>
      <c r="K42" s="311">
        <v>25096.183350849999</v>
      </c>
      <c r="L42" s="311">
        <v>26018.741509570002</v>
      </c>
      <c r="M42" s="312">
        <v>28095.381458010001</v>
      </c>
      <c r="N42" t="str">
        <f t="shared" si="5"/>
        <v>SpainManufacture of food products (C10)</v>
      </c>
      <c r="O42" s="11">
        <f>INDEX('Base de dados IHS'!$A$1:$V$676,MATCH($N42,'Base de dados IHS'!$C$1:$C$676,0),MATCH($O$1,'Base de dados IHS'!$A$1:$V$1,0))</f>
        <v>1259732.1048611</v>
      </c>
      <c r="P42" s="11">
        <f>INDEX('Base de dados IHS'!$A$1:$V$676,MATCH($N42,'Base de dados IHS'!$C$1:$C$676,0),MATCH($P$1,'Base de dados IHS'!$A$1:$V$1,0))</f>
        <v>1317888.2673469</v>
      </c>
      <c r="Q42" s="131">
        <f>INDEX('Base de dados IHS'!$A$1:$V$676,MATCH($N42,'Base de dados IHS'!$C$1:$C$676,0),MATCH($Q$1,'Base de dados IHS'!$A$1:$V$1,0))</f>
        <v>1.7921956977915841E-2</v>
      </c>
      <c r="R42" s="131">
        <f>INDEX('Base de dados IHS'!$A$1:$V$676,MATCH($N42,'Base de dados IHS'!$C$1:$C$676,0),MATCH($R$1,'Base de dados IHS'!$A$1:$V$1,0))</f>
        <v>1.801110077501885E-2</v>
      </c>
      <c r="S42" s="131">
        <f>INDEX('Base de dados IHS'!$A$1:$V$676,MATCH($N42,'Base de dados IHS'!$C$1:$C$676,0),MATCH($S$1,'Base de dados IHS'!$A$1:$V$1,0))</f>
        <v>8.914379710300846E-5</v>
      </c>
      <c r="T42" t="str">
        <f>IF(Q42&lt;'Cenario A ranking setor PIB'!$G$16,"N","Y")</f>
        <v>N</v>
      </c>
    </row>
    <row r="43" spans="1:20" hidden="1" x14ac:dyDescent="0.45">
      <c r="A43" s="293" t="s">
        <v>159</v>
      </c>
      <c r="B43" s="297" t="s">
        <v>0</v>
      </c>
      <c r="C43" s="297" t="s">
        <v>958</v>
      </c>
      <c r="D43" s="311">
        <v>207.93741954999999</v>
      </c>
      <c r="E43" s="311">
        <v>223.93986717000001</v>
      </c>
      <c r="F43" s="302">
        <f t="shared" si="3"/>
        <v>7.6957998491234081E-2</v>
      </c>
      <c r="G43" s="311">
        <v>223.65140199000001</v>
      </c>
      <c r="H43" s="311">
        <v>223.93986717000001</v>
      </c>
      <c r="I43" s="302">
        <f t="shared" si="4"/>
        <v>1.2897982191628632E-3</v>
      </c>
      <c r="J43" s="311">
        <v>245.02856645</v>
      </c>
      <c r="K43" s="311">
        <v>257.65308449000003</v>
      </c>
      <c r="L43" s="311">
        <v>261.76412105000003</v>
      </c>
      <c r="M43" s="312">
        <v>272.14394764999997</v>
      </c>
      <c r="N43" t="str">
        <f t="shared" si="5"/>
        <v>KuwaitManufacture of food products (C10)</v>
      </c>
      <c r="O43" s="11">
        <f>INDEX('Base de dados IHS'!$A$1:$V$676,MATCH($N43,'Base de dados IHS'!$C$1:$C$676,0),MATCH($O$1,'Base de dados IHS'!$A$1:$V$1,0))</f>
        <v>136318.13330372999</v>
      </c>
      <c r="P43" s="11">
        <f>INDEX('Base de dados IHS'!$A$1:$V$676,MATCH($N43,'Base de dados IHS'!$C$1:$C$676,0),MATCH($P$1,'Base de dados IHS'!$A$1:$V$1,0))</f>
        <v>128320.86664452001</v>
      </c>
      <c r="Q43" s="131">
        <f>INDEX('Base de dados IHS'!$A$1:$V$676,MATCH($N43,'Base de dados IHS'!$C$1:$C$676,0),MATCH($Q$1,'Base de dados IHS'!$A$1:$V$1,0))</f>
        <v>1.6406577508781099E-3</v>
      </c>
      <c r="R43" s="131">
        <f>INDEX('Base de dados IHS'!$A$1:$V$676,MATCH($N43,'Base de dados IHS'!$C$1:$C$676,0),MATCH($R$1,'Base de dados IHS'!$A$1:$V$1,0))</f>
        <v>1.7451555076413868E-3</v>
      </c>
      <c r="S43" s="131">
        <f>INDEX('Base de dados IHS'!$A$1:$V$676,MATCH($N43,'Base de dados IHS'!$C$1:$C$676,0),MATCH($S$1,'Base de dados IHS'!$A$1:$V$1,0))</f>
        <v>1.0449775676327688E-4</v>
      </c>
      <c r="T43" t="str">
        <f>IF(Q43&lt;'Cenario A ranking setor PIB'!$G$16,"N","Y")</f>
        <v>N</v>
      </c>
    </row>
    <row r="44" spans="1:20" hidden="1" x14ac:dyDescent="0.45">
      <c r="A44" s="293" t="s">
        <v>148</v>
      </c>
      <c r="B44" s="297" t="s">
        <v>0</v>
      </c>
      <c r="C44" s="297" t="s">
        <v>958</v>
      </c>
      <c r="D44" s="311">
        <v>309.77039631999997</v>
      </c>
      <c r="E44" s="311">
        <v>382.58509244999999</v>
      </c>
      <c r="F44" s="302">
        <f t="shared" si="3"/>
        <v>0.23506021555003831</v>
      </c>
      <c r="G44" s="311">
        <v>342.88647453999999</v>
      </c>
      <c r="H44" s="311">
        <v>382.58509244999999</v>
      </c>
      <c r="I44" s="302">
        <f t="shared" si="4"/>
        <v>0.11577773070010355</v>
      </c>
      <c r="J44" s="311">
        <v>419.06918125999999</v>
      </c>
      <c r="K44" s="311">
        <v>451.32805194999997</v>
      </c>
      <c r="L44" s="311">
        <v>481.26920229000001</v>
      </c>
      <c r="M44" s="312">
        <v>553.37765210999999</v>
      </c>
      <c r="N44" t="str">
        <f t="shared" si="5"/>
        <v>BahrainManufacture of food products (C10)</v>
      </c>
      <c r="O44" s="11">
        <f>INDEX('Base de dados IHS'!$A$1:$V$676,MATCH($N44,'Base de dados IHS'!$C$1:$C$676,0),MATCH($O$1,'Base de dados IHS'!$A$1:$V$1,0))</f>
        <v>33332.328188890002</v>
      </c>
      <c r="P44" s="11">
        <f>INDEX('Base de dados IHS'!$A$1:$V$676,MATCH($N44,'Base de dados IHS'!$C$1:$C$676,0),MATCH($P$1,'Base de dados IHS'!$A$1:$V$1,0))</f>
        <v>36767.801730239997</v>
      </c>
      <c r="Q44" s="131">
        <f>INDEX('Base de dados IHS'!$A$1:$V$676,MATCH($N44,'Base de dados IHS'!$C$1:$C$676,0),MATCH($Q$1,'Base de dados IHS'!$A$1:$V$1,0))</f>
        <v>1.0286904430944835E-2</v>
      </c>
      <c r="R44" s="131">
        <f>INDEX('Base de dados IHS'!$A$1:$V$676,MATCH($N44,'Base de dados IHS'!$C$1:$C$676,0),MATCH($R$1,'Base de dados IHS'!$A$1:$V$1,0))</f>
        <v>1.0405438303246167E-2</v>
      </c>
      <c r="S44" s="131">
        <f>INDEX('Base de dados IHS'!$A$1:$V$676,MATCH($N44,'Base de dados IHS'!$C$1:$C$676,0),MATCH($S$1,'Base de dados IHS'!$A$1:$V$1,0))</f>
        <v>1.1853387230133239E-4</v>
      </c>
      <c r="T44" t="str">
        <f>IF(Q44&lt;'Cenario A ranking setor PIB'!$G$16,"N","Y")</f>
        <v>N</v>
      </c>
    </row>
    <row r="45" spans="1:20" hidden="1" x14ac:dyDescent="0.45">
      <c r="A45" s="293" t="s">
        <v>179</v>
      </c>
      <c r="B45" s="297" t="s">
        <v>0</v>
      </c>
      <c r="C45" s="297" t="s">
        <v>958</v>
      </c>
      <c r="D45" s="311">
        <v>1010804.0326306</v>
      </c>
      <c r="E45" s="311">
        <v>1365563.8512587999</v>
      </c>
      <c r="F45" s="302">
        <f t="shared" si="3"/>
        <v>0.35096794945004683</v>
      </c>
      <c r="G45" s="311">
        <v>1159751.0760385999</v>
      </c>
      <c r="H45" s="311">
        <v>1365563.8512587999</v>
      </c>
      <c r="I45" s="302">
        <f t="shared" si="4"/>
        <v>0.17746288791832932</v>
      </c>
      <c r="J45" s="311">
        <v>1498212.073937</v>
      </c>
      <c r="K45" s="311">
        <v>1639767.0437288999</v>
      </c>
      <c r="L45" s="311">
        <v>1755792.7969926</v>
      </c>
      <c r="M45" s="312">
        <v>2044038.5147565999</v>
      </c>
      <c r="N45" t="str">
        <f t="shared" si="5"/>
        <v>WorldManufacture of food products (C10)</v>
      </c>
      <c r="O45" s="11">
        <f>INDEX('Base de dados IHS'!$A$1:$V$676,MATCH($N45,'Base de dados IHS'!$C$1:$C$676,0),MATCH($O$1,'Base de dados IHS'!$A$1:$V$1,0))</f>
        <v>74892116.540485993</v>
      </c>
      <c r="P45" s="11">
        <f>INDEX('Base de dados IHS'!$A$1:$V$676,MATCH($N45,'Base de dados IHS'!$C$1:$C$676,0),MATCH($P$1,'Base de dados IHS'!$A$1:$V$1,0))</f>
        <v>87029234.955234006</v>
      </c>
      <c r="Q45" s="131">
        <f>INDEX('Base de dados IHS'!$A$1:$V$676,MATCH($N45,'Base de dados IHS'!$C$1:$C$676,0),MATCH($Q$1,'Base de dados IHS'!$A$1:$V$1,0))</f>
        <v>1.5485622914818399E-2</v>
      </c>
      <c r="R45" s="131">
        <f>INDEX('Base de dados IHS'!$A$1:$V$676,MATCH($N45,'Base de dados IHS'!$C$1:$C$676,0),MATCH($R$1,'Base de dados IHS'!$A$1:$V$1,0))</f>
        <v>1.5690863558219453E-2</v>
      </c>
      <c r="S45" s="131">
        <f>INDEX('Base de dados IHS'!$A$1:$V$676,MATCH($N45,'Base de dados IHS'!$C$1:$C$676,0),MATCH($S$1,'Base de dados IHS'!$A$1:$V$1,0))</f>
        <v>2.0524064340105355E-4</v>
      </c>
      <c r="T45" t="str">
        <f>IF(Q45&lt;'Cenario A ranking setor PIB'!$G$16,"N","Y")</f>
        <v>N</v>
      </c>
    </row>
    <row r="46" spans="1:20" hidden="1" x14ac:dyDescent="0.45">
      <c r="A46" s="293" t="s">
        <v>116</v>
      </c>
      <c r="B46" s="297" t="s">
        <v>0</v>
      </c>
      <c r="C46" s="297" t="s">
        <v>958</v>
      </c>
      <c r="D46" s="311">
        <v>4280.1176687999996</v>
      </c>
      <c r="E46" s="311">
        <v>4792.7469668599997</v>
      </c>
      <c r="F46" s="302">
        <f t="shared" si="3"/>
        <v>0.11976990768193629</v>
      </c>
      <c r="G46" s="311">
        <v>4116.42025448</v>
      </c>
      <c r="H46" s="311">
        <v>4792.7469668599997</v>
      </c>
      <c r="I46" s="302">
        <f t="shared" si="4"/>
        <v>0.1642997241702755</v>
      </c>
      <c r="J46" s="311">
        <v>4737.9127987800002</v>
      </c>
      <c r="K46" s="311">
        <v>4882.8956036500003</v>
      </c>
      <c r="L46" s="311">
        <v>5014.17827846</v>
      </c>
      <c r="M46" s="312">
        <v>5391.1404008400004</v>
      </c>
      <c r="N46" t="str">
        <f t="shared" si="5"/>
        <v>DenmarkManufacture of food products (C10)</v>
      </c>
      <c r="O46" s="11">
        <f>INDEX('Base de dados IHS'!$A$1:$V$676,MATCH($N46,'Base de dados IHS'!$C$1:$C$676,0),MATCH($O$1,'Base de dados IHS'!$A$1:$V$1,0))</f>
        <v>315318.76572541997</v>
      </c>
      <c r="P46" s="11">
        <f>INDEX('Base de dados IHS'!$A$1:$V$676,MATCH($N46,'Base de dados IHS'!$C$1:$C$676,0),MATCH($P$1,'Base de dados IHS'!$A$1:$V$1,0))</f>
        <v>361238.79673869</v>
      </c>
      <c r="Q46" s="131">
        <f>INDEX('Base de dados IHS'!$A$1:$V$676,MATCH($N46,'Base de dados IHS'!$C$1:$C$676,0),MATCH($Q$1,'Base de dados IHS'!$A$1:$V$1,0))</f>
        <v>1.3054789952034077E-2</v>
      </c>
      <c r="R46" s="131">
        <f>INDEX('Base de dados IHS'!$A$1:$V$676,MATCH($N46,'Base de dados IHS'!$C$1:$C$676,0),MATCH($R$1,'Base de dados IHS'!$A$1:$V$1,0))</f>
        <v>1.3267531090595837E-2</v>
      </c>
      <c r="S46" s="131">
        <f>INDEX('Base de dados IHS'!$A$1:$V$676,MATCH($N46,'Base de dados IHS'!$C$1:$C$676,0),MATCH($S$1,'Base de dados IHS'!$A$1:$V$1,0))</f>
        <v>2.1274113856175995E-4</v>
      </c>
      <c r="T46" t="str">
        <f>IF(Q46&lt;'Cenario A ranking setor PIB'!$G$16,"N","Y")</f>
        <v>N</v>
      </c>
    </row>
    <row r="47" spans="1:20" hidden="1" x14ac:dyDescent="0.45">
      <c r="A47" s="293" t="s">
        <v>155</v>
      </c>
      <c r="B47" s="297" t="s">
        <v>0</v>
      </c>
      <c r="C47" s="297" t="s">
        <v>958</v>
      </c>
      <c r="D47" s="311">
        <v>210.29658495999999</v>
      </c>
      <c r="E47" s="311">
        <v>337.48797680000001</v>
      </c>
      <c r="F47" s="302">
        <f t="shared" si="3"/>
        <v>0.60481910281231044</v>
      </c>
      <c r="G47" s="311">
        <v>294.92455898999998</v>
      </c>
      <c r="H47" s="311">
        <v>337.48797680000001</v>
      </c>
      <c r="I47" s="302">
        <f t="shared" si="4"/>
        <v>0.14431967943179402</v>
      </c>
      <c r="J47" s="311">
        <v>399.3806371</v>
      </c>
      <c r="K47" s="311">
        <v>444.92895870000001</v>
      </c>
      <c r="L47" s="311">
        <v>468.36315138999998</v>
      </c>
      <c r="M47" s="312">
        <v>522.56908564000003</v>
      </c>
      <c r="N47" t="str">
        <f t="shared" si="5"/>
        <v>QatarManufacture of food products (C10)</v>
      </c>
      <c r="O47" s="11">
        <f>INDEX('Base de dados IHS'!$A$1:$V$676,MATCH($N47,'Base de dados IHS'!$C$1:$C$676,0),MATCH($O$1,'Base de dados IHS'!$A$1:$V$1,0))</f>
        <v>170576.82347613</v>
      </c>
      <c r="P47" s="11">
        <f>INDEX('Base de dados IHS'!$A$1:$V$676,MATCH($N47,'Base de dados IHS'!$C$1:$C$676,0),MATCH($P$1,'Base de dados IHS'!$A$1:$V$1,0))</f>
        <v>172715.39534024999</v>
      </c>
      <c r="Q47" s="131">
        <f>INDEX('Base de dados IHS'!$A$1:$V$676,MATCH($N47,'Base de dados IHS'!$C$1:$C$676,0),MATCH($Q$1,'Base de dados IHS'!$A$1:$V$1,0))</f>
        <v>1.7289837680162384E-3</v>
      </c>
      <c r="R47" s="131">
        <f>INDEX('Base de dados IHS'!$A$1:$V$676,MATCH($N47,'Base de dados IHS'!$C$1:$C$676,0),MATCH($R$1,'Base de dados IHS'!$A$1:$V$1,0))</f>
        <v>1.9540121257583748E-3</v>
      </c>
      <c r="S47" s="131">
        <f>INDEX('Base de dados IHS'!$A$1:$V$676,MATCH($N47,'Base de dados IHS'!$C$1:$C$676,0),MATCH($S$1,'Base de dados IHS'!$A$1:$V$1,0))</f>
        <v>2.2502835774213643E-4</v>
      </c>
      <c r="T47" t="str">
        <f>IF(Q47&lt;'Cenario A ranking setor PIB'!$G$16,"N","Y")</f>
        <v>N</v>
      </c>
    </row>
    <row r="48" spans="1:20" hidden="1" x14ac:dyDescent="0.45">
      <c r="A48" s="293" t="s">
        <v>73</v>
      </c>
      <c r="B48" s="297" t="s">
        <v>0</v>
      </c>
      <c r="C48" s="297" t="s">
        <v>958</v>
      </c>
      <c r="D48" s="311">
        <v>4210.2312355499998</v>
      </c>
      <c r="E48" s="311">
        <v>5963.2609979999997</v>
      </c>
      <c r="F48" s="302">
        <f t="shared" si="3"/>
        <v>0.41637374870242594</v>
      </c>
      <c r="G48" s="311">
        <v>4709.35455258</v>
      </c>
      <c r="H48" s="311">
        <v>5963.2609979999997</v>
      </c>
      <c r="I48" s="302">
        <f t="shared" si="4"/>
        <v>0.26625866271484111</v>
      </c>
      <c r="J48" s="311">
        <v>6471.5311528599996</v>
      </c>
      <c r="K48" s="311">
        <v>6926.46460278</v>
      </c>
      <c r="L48" s="311">
        <v>7265.2090606100001</v>
      </c>
      <c r="M48" s="312">
        <v>8235.9564328300003</v>
      </c>
      <c r="N48" t="str">
        <f t="shared" si="5"/>
        <v>TaiwanManufacture of food products (C10)</v>
      </c>
      <c r="O48" s="11">
        <f>INDEX('Base de dados IHS'!$A$1:$V$676,MATCH($N48,'Base de dados IHS'!$C$1:$C$676,0),MATCH($O$1,'Base de dados IHS'!$A$1:$V$1,0))</f>
        <v>546880.06131035998</v>
      </c>
      <c r="P48" s="11">
        <f>INDEX('Base de dados IHS'!$A$1:$V$676,MATCH($N48,'Base de dados IHS'!$C$1:$C$676,0),MATCH($P$1,'Base de dados IHS'!$A$1:$V$1,0))</f>
        <v>674049.24440882006</v>
      </c>
      <c r="Q48" s="131">
        <f>INDEX('Base de dados IHS'!$A$1:$V$676,MATCH($N48,'Base de dados IHS'!$C$1:$C$676,0),MATCH($Q$1,'Base de dados IHS'!$A$1:$V$1,0))</f>
        <v>8.611311484452518E-3</v>
      </c>
      <c r="R48" s="131">
        <f>INDEX('Base de dados IHS'!$A$1:$V$676,MATCH($N48,'Base de dados IHS'!$C$1:$C$676,0),MATCH($R$1,'Base de dados IHS'!$A$1:$V$1,0))</f>
        <v>8.8469218643366671E-3</v>
      </c>
      <c r="S48" s="131">
        <f>INDEX('Base de dados IHS'!$A$1:$V$676,MATCH($N48,'Base de dados IHS'!$C$1:$C$676,0),MATCH($S$1,'Base de dados IHS'!$A$1:$V$1,0))</f>
        <v>2.3561037988414912E-4</v>
      </c>
      <c r="T48" t="str">
        <f>IF(Q48&lt;'Cenario A ranking setor PIB'!$G$16,"N","Y")</f>
        <v>N</v>
      </c>
    </row>
    <row r="49" spans="1:20" hidden="1" x14ac:dyDescent="0.45">
      <c r="A49" s="293" t="s">
        <v>113</v>
      </c>
      <c r="B49" s="297" t="s">
        <v>0</v>
      </c>
      <c r="C49" s="297" t="s">
        <v>958</v>
      </c>
      <c r="D49" s="311">
        <v>2149.1923354099999</v>
      </c>
      <c r="E49" s="311">
        <v>2430.7341001899999</v>
      </c>
      <c r="F49" s="302">
        <f t="shared" si="3"/>
        <v>0.13099886880356415</v>
      </c>
      <c r="G49" s="311">
        <v>1974.0356613500001</v>
      </c>
      <c r="H49" s="311">
        <v>2430.7341001899999</v>
      </c>
      <c r="I49" s="302">
        <f t="shared" si="4"/>
        <v>0.23135267907352475</v>
      </c>
      <c r="J49" s="311">
        <v>2457.9876052999998</v>
      </c>
      <c r="K49" s="311">
        <v>2513.53847314</v>
      </c>
      <c r="L49" s="311">
        <v>2755.0598077300001</v>
      </c>
      <c r="M49" s="312">
        <v>3158.56655331</v>
      </c>
      <c r="N49" t="str">
        <f t="shared" si="5"/>
        <v>HungaryManufacture of food products (C10)</v>
      </c>
      <c r="O49" s="11">
        <f>INDEX('Base de dados IHS'!$A$1:$V$676,MATCH($N49,'Base de dados IHS'!$C$1:$C$676,0),MATCH($O$1,'Base de dados IHS'!$A$1:$V$1,0))</f>
        <v>139098.07965294999</v>
      </c>
      <c r="P49" s="11">
        <f>INDEX('Base de dados IHS'!$A$1:$V$676,MATCH($N49,'Base de dados IHS'!$C$1:$C$676,0),MATCH($P$1,'Base de dados IHS'!$A$1:$V$1,0))</f>
        <v>167320.49519441</v>
      </c>
      <c r="Q49" s="131">
        <f>INDEX('Base de dados IHS'!$A$1:$V$676,MATCH($N49,'Base de dados IHS'!$C$1:$C$676,0),MATCH($Q$1,'Base de dados IHS'!$A$1:$V$1,0))</f>
        <v>1.4191681626915507E-2</v>
      </c>
      <c r="R49" s="131">
        <f>INDEX('Base de dados IHS'!$A$1:$V$676,MATCH($N49,'Base de dados IHS'!$C$1:$C$676,0),MATCH($R$1,'Base de dados IHS'!$A$1:$V$1,0))</f>
        <v>1.4527413974992874E-2</v>
      </c>
      <c r="S49" s="131">
        <f>INDEX('Base de dados IHS'!$A$1:$V$676,MATCH($N49,'Base de dados IHS'!$C$1:$C$676,0),MATCH($S$1,'Base de dados IHS'!$A$1:$V$1,0))</f>
        <v>3.3573234807736732E-4</v>
      </c>
      <c r="T49" t="str">
        <f>IF(Q49&lt;'Cenario A ranking setor PIB'!$G$16,"N","Y")</f>
        <v>N</v>
      </c>
    </row>
    <row r="50" spans="1:20" hidden="1" x14ac:dyDescent="0.45">
      <c r="A50" s="293" t="s">
        <v>153</v>
      </c>
      <c r="B50" s="297" t="s">
        <v>0</v>
      </c>
      <c r="C50" s="297" t="s">
        <v>958</v>
      </c>
      <c r="D50" s="311">
        <v>541.90474756000003</v>
      </c>
      <c r="E50" s="311">
        <v>821.54152363000003</v>
      </c>
      <c r="F50" s="302">
        <f t="shared" si="3"/>
        <v>0.51602569885040261</v>
      </c>
      <c r="G50" s="311">
        <v>753.53404363000004</v>
      </c>
      <c r="H50" s="311">
        <v>821.54152363000003</v>
      </c>
      <c r="I50" s="302">
        <f t="shared" si="4"/>
        <v>9.0251370292956601E-2</v>
      </c>
      <c r="J50" s="311">
        <v>961.64634183999999</v>
      </c>
      <c r="K50" s="311">
        <v>1038.46683366</v>
      </c>
      <c r="L50" s="311">
        <v>1075.6689626699999</v>
      </c>
      <c r="M50" s="312">
        <v>1211.9287138699999</v>
      </c>
      <c r="N50" t="str">
        <f t="shared" si="5"/>
        <v>OmanManufacture of food products (C10)</v>
      </c>
      <c r="O50" s="11">
        <f>INDEX('Base de dados IHS'!$A$1:$V$676,MATCH($N50,'Base de dados IHS'!$C$1:$C$676,0),MATCH($O$1,'Base de dados IHS'!$A$1:$V$1,0))</f>
        <v>83456.391863790006</v>
      </c>
      <c r="P50" s="11">
        <f>INDEX('Base de dados IHS'!$A$1:$V$676,MATCH($N50,'Base de dados IHS'!$C$1:$C$676,0),MATCH($P$1,'Base de dados IHS'!$A$1:$V$1,0))</f>
        <v>87715.792114070005</v>
      </c>
      <c r="Q50" s="131">
        <f>INDEX('Base de dados IHS'!$A$1:$V$676,MATCH($N50,'Base de dados IHS'!$C$1:$C$676,0),MATCH($Q$1,'Base de dados IHS'!$A$1:$V$1,0))</f>
        <v>9.029075266755485E-3</v>
      </c>
      <c r="R50" s="131">
        <f>INDEX('Base de dados IHS'!$A$1:$V$676,MATCH($N50,'Base de dados IHS'!$C$1:$C$676,0),MATCH($R$1,'Base de dados IHS'!$A$1:$V$1,0))</f>
        <v>9.36594772537226E-3</v>
      </c>
      <c r="S50" s="131">
        <f>INDEX('Base de dados IHS'!$A$1:$V$676,MATCH($N50,'Base de dados IHS'!$C$1:$C$676,0),MATCH($S$1,'Base de dados IHS'!$A$1:$V$1,0))</f>
        <v>3.3687245861677498E-4</v>
      </c>
      <c r="T50" t="str">
        <f>IF(Q50&lt;'Cenario A ranking setor PIB'!$G$16,"N","Y")</f>
        <v>N</v>
      </c>
    </row>
    <row r="51" spans="1:20" hidden="1" x14ac:dyDescent="0.45">
      <c r="A51" s="293" t="s">
        <v>151</v>
      </c>
      <c r="B51" s="297" t="s">
        <v>0</v>
      </c>
      <c r="C51" s="297" t="s">
        <v>958</v>
      </c>
      <c r="D51" s="311">
        <v>3942.3586186699999</v>
      </c>
      <c r="E51" s="311">
        <v>4810.4021478300001</v>
      </c>
      <c r="F51" s="302">
        <f t="shared" si="3"/>
        <v>0.22018380698528239</v>
      </c>
      <c r="G51" s="311">
        <v>4310.6512368200001</v>
      </c>
      <c r="H51" s="311">
        <v>4810.4021478300001</v>
      </c>
      <c r="I51" s="302">
        <f t="shared" si="4"/>
        <v>0.11593396996289362</v>
      </c>
      <c r="J51" s="311">
        <v>4698.2652186100004</v>
      </c>
      <c r="K51" s="311">
        <v>4841.9347557000001</v>
      </c>
      <c r="L51" s="311">
        <v>4974.2654206400002</v>
      </c>
      <c r="M51" s="312">
        <v>5374.01621901</v>
      </c>
      <c r="N51" t="str">
        <f t="shared" si="5"/>
        <v>NorwayManufacture of food products (C10)</v>
      </c>
      <c r="O51" s="11">
        <f>INDEX('Base de dados IHS'!$A$1:$V$676,MATCH($N51,'Base de dados IHS'!$C$1:$C$676,0),MATCH($O$1,'Base de dados IHS'!$A$1:$V$1,0))</f>
        <v>386512.35690163</v>
      </c>
      <c r="P51" s="11">
        <f>INDEX('Base de dados IHS'!$A$1:$V$676,MATCH($N51,'Base de dados IHS'!$C$1:$C$676,0),MATCH($P$1,'Base de dados IHS'!$A$1:$V$1,0))</f>
        <v>418559.21595058002</v>
      </c>
      <c r="Q51" s="131">
        <f>INDEX('Base de dados IHS'!$A$1:$V$676,MATCH($N51,'Base de dados IHS'!$C$1:$C$676,0),MATCH($Q$1,'Base de dados IHS'!$A$1:$V$1,0))</f>
        <v>1.115268673781907E-2</v>
      </c>
      <c r="R51" s="131">
        <f>INDEX('Base de dados IHS'!$A$1:$V$676,MATCH($N51,'Base de dados IHS'!$C$1:$C$676,0),MATCH($R$1,'Base de dados IHS'!$A$1:$V$1,0))</f>
        <v>1.1492763662855227E-2</v>
      </c>
      <c r="S51" s="131">
        <f>INDEX('Base de dados IHS'!$A$1:$V$676,MATCH($N51,'Base de dados IHS'!$C$1:$C$676,0),MATCH($S$1,'Base de dados IHS'!$A$1:$V$1,0))</f>
        <v>3.4007692503615697E-4</v>
      </c>
      <c r="T51" t="str">
        <f>IF(Q51&lt;'Cenario A ranking setor PIB'!$G$16,"N","Y")</f>
        <v>N</v>
      </c>
    </row>
    <row r="52" spans="1:20" hidden="1" x14ac:dyDescent="0.45">
      <c r="A52" s="293" t="s">
        <v>156</v>
      </c>
      <c r="B52" s="297" t="s">
        <v>0</v>
      </c>
      <c r="C52" s="297" t="s">
        <v>958</v>
      </c>
      <c r="D52" s="311">
        <v>5319.9334146900001</v>
      </c>
      <c r="E52" s="311">
        <v>4527.5497196599999</v>
      </c>
      <c r="F52" s="302">
        <f t="shared" si="3"/>
        <v>-0.14894616779262326</v>
      </c>
      <c r="G52" s="311">
        <v>4357.2736942499996</v>
      </c>
      <c r="H52" s="311">
        <v>4527.5497196599999</v>
      </c>
      <c r="I52" s="302">
        <f t="shared" si="4"/>
        <v>3.9078570078051822E-2</v>
      </c>
      <c r="J52" s="311">
        <v>5236.4354166700004</v>
      </c>
      <c r="K52" s="311">
        <v>5248.9870290199997</v>
      </c>
      <c r="L52" s="311">
        <v>5289.8780694999996</v>
      </c>
      <c r="M52" s="312">
        <v>5478.17444454</v>
      </c>
      <c r="N52" t="str">
        <f t="shared" si="5"/>
        <v>GreeceManufacture of food products (C10)</v>
      </c>
      <c r="O52" s="11">
        <f>INDEX('Base de dados IHS'!$A$1:$V$676,MATCH($N52,'Base de dados IHS'!$C$1:$C$676,0),MATCH($O$1,'Base de dados IHS'!$A$1:$V$1,0))</f>
        <v>196841.83448053</v>
      </c>
      <c r="P52" s="11">
        <f>INDEX('Base de dados IHS'!$A$1:$V$676,MATCH($N52,'Base de dados IHS'!$C$1:$C$676,0),MATCH($P$1,'Base de dados IHS'!$A$1:$V$1,0))</f>
        <v>201121.93838619001</v>
      </c>
      <c r="Q52" s="131">
        <f>INDEX('Base de dados IHS'!$A$1:$V$676,MATCH($N52,'Base de dados IHS'!$C$1:$C$676,0),MATCH($Q$1,'Base de dados IHS'!$A$1:$V$1,0))</f>
        <v>2.2135912854850913E-2</v>
      </c>
      <c r="R52" s="131">
        <f>INDEX('Base de dados IHS'!$A$1:$V$676,MATCH($N52,'Base de dados IHS'!$C$1:$C$676,0),MATCH($R$1,'Base de dados IHS'!$A$1:$V$1,0))</f>
        <v>2.2511466207959355E-2</v>
      </c>
      <c r="S52" s="131">
        <f>INDEX('Base de dados IHS'!$A$1:$V$676,MATCH($N52,'Base de dados IHS'!$C$1:$C$676,0),MATCH($S$1,'Base de dados IHS'!$A$1:$V$1,0))</f>
        <v>3.7555335310844248E-4</v>
      </c>
      <c r="T52" t="str">
        <f>IF(Q52&lt;'Cenario A ranking setor PIB'!$G$16,"N","Y")</f>
        <v>N</v>
      </c>
    </row>
    <row r="53" spans="1:20" hidden="1" x14ac:dyDescent="0.45">
      <c r="A53" s="293" t="s">
        <v>145</v>
      </c>
      <c r="B53" s="297" t="s">
        <v>0</v>
      </c>
      <c r="C53" s="297" t="s">
        <v>958</v>
      </c>
      <c r="D53" s="311">
        <v>6365.9535073999996</v>
      </c>
      <c r="E53" s="311">
        <v>7207.5733194499999</v>
      </c>
      <c r="F53" s="302">
        <f t="shared" si="3"/>
        <v>0.13220640255566951</v>
      </c>
      <c r="G53" s="311">
        <v>6909.9500568000003</v>
      </c>
      <c r="H53" s="311">
        <v>7207.5733194499999</v>
      </c>
      <c r="I53" s="302">
        <f t="shared" si="4"/>
        <v>4.3071695193674042E-2</v>
      </c>
      <c r="J53" s="311">
        <v>7522.7734118099997</v>
      </c>
      <c r="K53" s="311">
        <v>8352.8190452399995</v>
      </c>
      <c r="L53" s="311">
        <v>9177.8694800800004</v>
      </c>
      <c r="M53" s="312">
        <v>11255.7281986</v>
      </c>
      <c r="N53" t="str">
        <f t="shared" si="5"/>
        <v>South AfricaManufacture of food products (C10)</v>
      </c>
      <c r="O53" s="11">
        <f>INDEX('Base de dados IHS'!$A$1:$V$676,MATCH($N53,'Base de dados IHS'!$C$1:$C$676,0),MATCH($O$1,'Base de dados IHS'!$A$1:$V$1,0))</f>
        <v>375376.48654821003</v>
      </c>
      <c r="P53" s="11">
        <f>INDEX('Base de dados IHS'!$A$1:$V$676,MATCH($N53,'Base de dados IHS'!$C$1:$C$676,0),MATCH($P$1,'Base de dados IHS'!$A$1:$V$1,0))</f>
        <v>383209.69906191999</v>
      </c>
      <c r="Q53" s="131">
        <f>INDEX('Base de dados IHS'!$A$1:$V$676,MATCH($N53,'Base de dados IHS'!$C$1:$C$676,0),MATCH($Q$1,'Base de dados IHS'!$A$1:$V$1,0))</f>
        <v>1.8408052460453055E-2</v>
      </c>
      <c r="R53" s="131">
        <f>INDEX('Base de dados IHS'!$A$1:$V$676,MATCH($N53,'Base de dados IHS'!$C$1:$C$676,0),MATCH($R$1,'Base de dados IHS'!$A$1:$V$1,0))</f>
        <v>1.8808431355192244E-2</v>
      </c>
      <c r="S53" s="131">
        <f>INDEX('Base de dados IHS'!$A$1:$V$676,MATCH($N53,'Base de dados IHS'!$C$1:$C$676,0),MATCH($S$1,'Base de dados IHS'!$A$1:$V$1,0))</f>
        <v>4.0037889473918883E-4</v>
      </c>
      <c r="T53" t="str">
        <f>IF(Q53&lt;'Cenario A ranking setor PIB'!$G$16,"N","Y")</f>
        <v>N</v>
      </c>
    </row>
    <row r="54" spans="1:20" hidden="1" x14ac:dyDescent="0.45">
      <c r="A54" s="293" t="s">
        <v>105</v>
      </c>
      <c r="B54" s="297" t="s">
        <v>0</v>
      </c>
      <c r="C54" s="297" t="s">
        <v>958</v>
      </c>
      <c r="D54" s="311">
        <v>7435.8250228899997</v>
      </c>
      <c r="E54" s="311">
        <v>9184.8562693799995</v>
      </c>
      <c r="F54" s="302">
        <f t="shared" si="3"/>
        <v>0.23521683755412304</v>
      </c>
      <c r="G54" s="311">
        <v>8297.7398128900004</v>
      </c>
      <c r="H54" s="311">
        <v>9184.8562693799995</v>
      </c>
      <c r="I54" s="302">
        <f t="shared" si="4"/>
        <v>0.10691061379291766</v>
      </c>
      <c r="J54" s="311">
        <v>10499.864183670001</v>
      </c>
      <c r="K54" s="311">
        <v>11481.355745020001</v>
      </c>
      <c r="L54" s="311">
        <v>12587.470606790001</v>
      </c>
      <c r="M54" s="312">
        <v>14834.23317356</v>
      </c>
      <c r="N54" t="str">
        <f t="shared" si="5"/>
        <v>Saudi ArabiaManufacture of food products (C10)</v>
      </c>
      <c r="O54" s="11">
        <f>INDEX('Base de dados IHS'!$A$1:$V$676,MATCH($N54,'Base de dados IHS'!$C$1:$C$676,0),MATCH($O$1,'Base de dados IHS'!$A$1:$V$1,0))</f>
        <v>791157.39281293005</v>
      </c>
      <c r="P54" s="11">
        <f>INDEX('Base de dados IHS'!$A$1:$V$676,MATCH($N54,'Base de dados IHS'!$C$1:$C$676,0),MATCH($P$1,'Base de dados IHS'!$A$1:$V$1,0))</f>
        <v>836861.61444072996</v>
      </c>
      <c r="Q54" s="131">
        <f>INDEX('Base de dados IHS'!$A$1:$V$676,MATCH($N54,'Base de dados IHS'!$C$1:$C$676,0),MATCH($Q$1,'Base de dados IHS'!$A$1:$V$1,0))</f>
        <v>1.0488102479062606E-2</v>
      </c>
      <c r="R54" s="131">
        <f>INDEX('Base de dados IHS'!$A$1:$V$676,MATCH($N54,'Base de dados IHS'!$C$1:$C$676,0),MATCH($R$1,'Base de dados IHS'!$A$1:$V$1,0))</f>
        <v>1.0975358543022897E-2</v>
      </c>
      <c r="S54" s="131">
        <f>INDEX('Base de dados IHS'!$A$1:$V$676,MATCH($N54,'Base de dados IHS'!$C$1:$C$676,0),MATCH($S$1,'Base de dados IHS'!$A$1:$V$1,0))</f>
        <v>4.8725606396029034E-4</v>
      </c>
      <c r="T54" t="str">
        <f>IF(Q54&lt;'Cenario A ranking setor PIB'!$G$16,"N","Y")</f>
        <v>N</v>
      </c>
    </row>
    <row r="55" spans="1:20" hidden="1" x14ac:dyDescent="0.45">
      <c r="A55" s="293" t="s">
        <v>171</v>
      </c>
      <c r="B55" s="297" t="s">
        <v>0</v>
      </c>
      <c r="C55" s="297" t="s">
        <v>958</v>
      </c>
      <c r="D55" s="311">
        <v>553.69574179999995</v>
      </c>
      <c r="E55" s="311">
        <v>856.36237760999995</v>
      </c>
      <c r="F55" s="302">
        <f t="shared" si="3"/>
        <v>0.54662987803746921</v>
      </c>
      <c r="G55" s="311">
        <v>683.25848298999995</v>
      </c>
      <c r="H55" s="311">
        <v>856.36237760999995</v>
      </c>
      <c r="I55" s="302">
        <f t="shared" si="4"/>
        <v>0.25335052389321522</v>
      </c>
      <c r="J55" s="311">
        <v>1051.46271131</v>
      </c>
      <c r="K55" s="311">
        <v>1279.3016913500001</v>
      </c>
      <c r="L55" s="311">
        <v>1440.30181494</v>
      </c>
      <c r="M55" s="312">
        <v>1879.4663768600001</v>
      </c>
      <c r="N55" t="str">
        <f t="shared" si="5"/>
        <v>CameroonManufacture of food products (C10)</v>
      </c>
      <c r="O55" s="11">
        <f>INDEX('Base de dados IHS'!$A$1:$V$676,MATCH($N55,'Base de dados IHS'!$C$1:$C$676,0),MATCH($O$1,'Base de dados IHS'!$A$1:$V$1,0))</f>
        <v>34069.891642009999</v>
      </c>
      <c r="P55" s="11">
        <f>INDEX('Base de dados IHS'!$A$1:$V$676,MATCH($N55,'Base de dados IHS'!$C$1:$C$676,0),MATCH($P$1,'Base de dados IHS'!$A$1:$V$1,0))</f>
        <v>41316.84413338</v>
      </c>
      <c r="Q55" s="131">
        <f>INDEX('Base de dados IHS'!$A$1:$V$676,MATCH($N55,'Base de dados IHS'!$C$1:$C$676,0),MATCH($Q$1,'Base de dados IHS'!$A$1:$V$1,0))</f>
        <v>2.0054612740461601E-2</v>
      </c>
      <c r="R55" s="131">
        <f>INDEX('Base de dados IHS'!$A$1:$V$676,MATCH($N55,'Base de dados IHS'!$C$1:$C$676,0),MATCH($R$1,'Base de dados IHS'!$A$1:$V$1,0))</f>
        <v>2.0726713174062154E-2</v>
      </c>
      <c r="S55" s="131">
        <f>INDEX('Base de dados IHS'!$A$1:$V$676,MATCH($N55,'Base de dados IHS'!$C$1:$C$676,0),MATCH($S$1,'Base de dados IHS'!$A$1:$V$1,0))</f>
        <v>6.7210043360055316E-4</v>
      </c>
      <c r="T55" t="str">
        <f>IF(Q55&lt;'Cenario A ranking setor PIB'!$G$16,"N","Y")</f>
        <v>N</v>
      </c>
    </row>
    <row r="56" spans="1:20" hidden="1" x14ac:dyDescent="0.45">
      <c r="A56" s="293" t="s">
        <v>101</v>
      </c>
      <c r="B56" s="297" t="s">
        <v>0</v>
      </c>
      <c r="C56" s="297" t="s">
        <v>958</v>
      </c>
      <c r="D56" s="311">
        <v>25354.97616613</v>
      </c>
      <c r="E56" s="311">
        <v>28150.758531209998</v>
      </c>
      <c r="F56" s="302">
        <f t="shared" si="3"/>
        <v>0.1102656278105556</v>
      </c>
      <c r="G56" s="311">
        <v>25962.245779109999</v>
      </c>
      <c r="H56" s="311">
        <v>28150.758531209998</v>
      </c>
      <c r="I56" s="302">
        <f t="shared" si="4"/>
        <v>8.4295972340765024E-2</v>
      </c>
      <c r="J56" s="311">
        <v>28520.192923769999</v>
      </c>
      <c r="K56" s="311">
        <v>28755.964937420002</v>
      </c>
      <c r="L56" s="311">
        <v>28961.170656940001</v>
      </c>
      <c r="M56" s="312">
        <v>30030.45765334</v>
      </c>
      <c r="N56" t="str">
        <f t="shared" si="5"/>
        <v>ItalyManufacture of food products (C10)</v>
      </c>
      <c r="O56" s="11">
        <f>INDEX('Base de dados IHS'!$A$1:$V$676,MATCH($N56,'Base de dados IHS'!$C$1:$C$676,0),MATCH($O$1,'Base de dados IHS'!$A$1:$V$1,0))</f>
        <v>1924364.2462229</v>
      </c>
      <c r="P56" s="11">
        <f>INDEX('Base de dados IHS'!$A$1:$V$676,MATCH($N56,'Base de dados IHS'!$C$1:$C$676,0),MATCH($P$1,'Base de dados IHS'!$A$1:$V$1,0))</f>
        <v>1980878.3634254001</v>
      </c>
      <c r="Q56" s="131">
        <f>INDEX('Base de dados IHS'!$A$1:$V$676,MATCH($N56,'Base de dados IHS'!$C$1:$C$676,0),MATCH($Q$1,'Base de dados IHS'!$A$1:$V$1,0))</f>
        <v>1.3491336596004695E-2</v>
      </c>
      <c r="R56" s="131">
        <f>INDEX('Base de dados IHS'!$A$1:$V$676,MATCH($N56,'Base de dados IHS'!$C$1:$C$676,0),MATCH($R$1,'Base de dados IHS'!$A$1:$V$1,0))</f>
        <v>1.4211250448781104E-2</v>
      </c>
      <c r="S56" s="131">
        <f>INDEX('Base de dados IHS'!$A$1:$V$676,MATCH($N56,'Base de dados IHS'!$C$1:$C$676,0),MATCH($S$1,'Base de dados IHS'!$A$1:$V$1,0))</f>
        <v>7.1991385277640936E-4</v>
      </c>
      <c r="T56" t="str">
        <f>IF(Q56&lt;'Cenario A ranking setor PIB'!$G$16,"N","Y")</f>
        <v>N</v>
      </c>
    </row>
    <row r="57" spans="1:20" hidden="1" x14ac:dyDescent="0.45">
      <c r="A57" s="293" t="s">
        <v>157</v>
      </c>
      <c r="B57" s="297" t="s">
        <v>0</v>
      </c>
      <c r="C57" s="297" t="s">
        <v>958</v>
      </c>
      <c r="D57" s="311">
        <v>1170.2043212399999</v>
      </c>
      <c r="E57" s="311">
        <v>1088.9450419899999</v>
      </c>
      <c r="F57" s="302">
        <f t="shared" si="3"/>
        <v>-6.9440248830985429E-2</v>
      </c>
      <c r="G57" s="311">
        <v>881.94427521</v>
      </c>
      <c r="H57" s="311">
        <v>1088.9450419899999</v>
      </c>
      <c r="I57" s="302">
        <f t="shared" si="4"/>
        <v>0.23470957587508678</v>
      </c>
      <c r="J57" s="311">
        <v>1188.60607082</v>
      </c>
      <c r="K57" s="311">
        <v>1237.9996381000001</v>
      </c>
      <c r="L57" s="311">
        <v>1267.02346685</v>
      </c>
      <c r="M57" s="312">
        <v>1373.1325050400001</v>
      </c>
      <c r="N57" t="str">
        <f t="shared" si="5"/>
        <v>SlovakiaManufacture of food products (C10)</v>
      </c>
      <c r="O57" s="11">
        <f>INDEX('Base de dados IHS'!$A$1:$V$676,MATCH($N57,'Base de dados IHS'!$C$1:$C$676,0),MATCH($O$1,'Base de dados IHS'!$A$1:$V$1,0))</f>
        <v>94460.171576160006</v>
      </c>
      <c r="P57" s="11">
        <f>INDEX('Base de dados IHS'!$A$1:$V$676,MATCH($N57,'Base de dados IHS'!$C$1:$C$676,0),MATCH($P$1,'Base de dados IHS'!$A$1:$V$1,0))</f>
        <v>107076.6714533</v>
      </c>
      <c r="Q57" s="131">
        <f>INDEX('Base de dados IHS'!$A$1:$V$676,MATCH($N57,'Base de dados IHS'!$C$1:$C$676,0),MATCH($Q$1,'Base de dados IHS'!$A$1:$V$1,0))</f>
        <v>9.3366787344750738E-3</v>
      </c>
      <c r="R57" s="131">
        <f>INDEX('Base de dados IHS'!$A$1:$V$676,MATCH($N57,'Base de dados IHS'!$C$1:$C$676,0),MATCH($R$1,'Base de dados IHS'!$A$1:$V$1,0))</f>
        <v>1.0169769261691405E-2</v>
      </c>
      <c r="S57" s="131">
        <f>INDEX('Base de dados IHS'!$A$1:$V$676,MATCH($N57,'Base de dados IHS'!$C$1:$C$676,0),MATCH($S$1,'Base de dados IHS'!$A$1:$V$1,0))</f>
        <v>8.3309052721633123E-4</v>
      </c>
      <c r="T57" t="str">
        <f>IF(Q57&lt;'Cenario A ranking setor PIB'!$G$16,"N","Y")</f>
        <v>N</v>
      </c>
    </row>
    <row r="58" spans="1:20" hidden="1" x14ac:dyDescent="0.45">
      <c r="A58" s="293" t="s">
        <v>165</v>
      </c>
      <c r="B58" s="297" t="s">
        <v>0</v>
      </c>
      <c r="C58" s="297" t="s">
        <v>958</v>
      </c>
      <c r="D58" s="311">
        <v>2622.5220824600001</v>
      </c>
      <c r="E58" s="311">
        <v>2694.78610557</v>
      </c>
      <c r="F58" s="302">
        <f t="shared" si="3"/>
        <v>2.7555162869101313E-2</v>
      </c>
      <c r="G58" s="311">
        <v>2648.8709633899998</v>
      </c>
      <c r="H58" s="311">
        <v>2694.78610557</v>
      </c>
      <c r="I58" s="302">
        <f t="shared" si="4"/>
        <v>1.7333853862491866E-2</v>
      </c>
      <c r="J58" s="311">
        <v>2932.7253200199998</v>
      </c>
      <c r="K58" s="311">
        <v>3194.4630487999998</v>
      </c>
      <c r="L58" s="311">
        <v>3406.6533128299998</v>
      </c>
      <c r="M58" s="312">
        <v>3864.6360421999998</v>
      </c>
      <c r="N58" t="str">
        <f t="shared" si="5"/>
        <v>EcuadorManufacture of food products (C10)</v>
      </c>
      <c r="O58" s="11">
        <f>INDEX('Base de dados IHS'!$A$1:$V$676,MATCH($N58,'Base de dados IHS'!$C$1:$C$676,0),MATCH($O$1,'Base de dados IHS'!$A$1:$V$1,0))</f>
        <v>105544.34131757999</v>
      </c>
      <c r="P58" s="11">
        <f>INDEX('Base de dados IHS'!$A$1:$V$676,MATCH($N58,'Base de dados IHS'!$C$1:$C$676,0),MATCH($P$1,'Base de dados IHS'!$A$1:$V$1,0))</f>
        <v>103911.06087433999</v>
      </c>
      <c r="Q58" s="131">
        <f>INDEX('Base de dados IHS'!$A$1:$V$676,MATCH($N58,'Base de dados IHS'!$C$1:$C$676,0),MATCH($Q$1,'Base de dados IHS'!$A$1:$V$1,0))</f>
        <v>2.5097233355406715E-2</v>
      </c>
      <c r="R58" s="131">
        <f>INDEX('Base de dados IHS'!$A$1:$V$676,MATCH($N58,'Base de dados IHS'!$C$1:$C$676,0),MATCH($R$1,'Base de dados IHS'!$A$1:$V$1,0))</f>
        <v>2.5933582843782284E-2</v>
      </c>
      <c r="S58" s="131">
        <f>INDEX('Base de dados IHS'!$A$1:$V$676,MATCH($N58,'Base de dados IHS'!$C$1:$C$676,0),MATCH($S$1,'Base de dados IHS'!$A$1:$V$1,0))</f>
        <v>8.3634948837556927E-4</v>
      </c>
      <c r="T58" t="str">
        <f>IF(Q58&lt;'Cenario A ranking setor PIB'!$G$16,"N","Y")</f>
        <v>N</v>
      </c>
    </row>
    <row r="59" spans="1:20" hidden="1" x14ac:dyDescent="0.45">
      <c r="A59" s="293" t="s">
        <v>111</v>
      </c>
      <c r="B59" s="297" t="s">
        <v>0</v>
      </c>
      <c r="C59" s="297" t="s">
        <v>958</v>
      </c>
      <c r="D59" s="311">
        <v>2370.6521795200001</v>
      </c>
      <c r="E59" s="311">
        <v>3158.49014012</v>
      </c>
      <c r="F59" s="302">
        <f t="shared" si="3"/>
        <v>0.3323296295450302</v>
      </c>
      <c r="G59" s="311">
        <v>2585.8732598800002</v>
      </c>
      <c r="H59" s="311">
        <v>3158.49014012</v>
      </c>
      <c r="I59" s="302">
        <f t="shared" si="4"/>
        <v>0.22144042754306237</v>
      </c>
      <c r="J59" s="311">
        <v>3070.4728419899998</v>
      </c>
      <c r="K59" s="311">
        <v>3117.0738665399999</v>
      </c>
      <c r="L59" s="311">
        <v>3181.5530136299999</v>
      </c>
      <c r="M59" s="312">
        <v>3374.7221951199999</v>
      </c>
      <c r="N59" t="str">
        <f t="shared" si="5"/>
        <v>Czech RepublicManufacture of food products (C10)</v>
      </c>
      <c r="O59" s="11">
        <f>INDEX('Base de dados IHS'!$A$1:$V$676,MATCH($N59,'Base de dados IHS'!$C$1:$C$676,0),MATCH($O$1,'Base de dados IHS'!$A$1:$V$1,0))</f>
        <v>220291.04889604999</v>
      </c>
      <c r="P59" s="11">
        <f>INDEX('Base de dados IHS'!$A$1:$V$676,MATCH($N59,'Base de dados IHS'!$C$1:$C$676,0),MATCH($P$1,'Base de dados IHS'!$A$1:$V$1,0))</f>
        <v>247058.51905223</v>
      </c>
      <c r="Q59" s="131">
        <f>INDEX('Base de dados IHS'!$A$1:$V$676,MATCH($N59,'Base de dados IHS'!$C$1:$C$676,0),MATCH($Q$1,'Base de dados IHS'!$A$1:$V$1,0))</f>
        <v>1.1738439999440064E-2</v>
      </c>
      <c r="R59" s="131">
        <f>INDEX('Base de dados IHS'!$A$1:$V$676,MATCH($N59,'Base de dados IHS'!$C$1:$C$676,0),MATCH($R$1,'Base de dados IHS'!$A$1:$V$1,0))</f>
        <v>1.2784380608435007E-2</v>
      </c>
      <c r="S59" s="131">
        <f>INDEX('Base de dados IHS'!$A$1:$V$676,MATCH($N59,'Base de dados IHS'!$C$1:$C$676,0),MATCH($S$1,'Base de dados IHS'!$A$1:$V$1,0))</f>
        <v>1.0459406089949434E-3</v>
      </c>
      <c r="T59" t="str">
        <f>IF(Q59&lt;'Cenario A ranking setor PIB'!$G$16,"N","Y")</f>
        <v>N</v>
      </c>
    </row>
    <row r="60" spans="1:20" hidden="1" x14ac:dyDescent="0.45">
      <c r="A60" s="293" t="s">
        <v>144</v>
      </c>
      <c r="B60" s="297" t="s">
        <v>0</v>
      </c>
      <c r="C60" s="297" t="s">
        <v>958</v>
      </c>
      <c r="D60" s="311">
        <v>4390.8859698699998</v>
      </c>
      <c r="E60" s="311">
        <v>7761.5584035299999</v>
      </c>
      <c r="F60" s="302">
        <f t="shared" si="3"/>
        <v>0.76765200845327231</v>
      </c>
      <c r="G60" s="311">
        <v>6251.85700129</v>
      </c>
      <c r="H60" s="311">
        <v>7761.5584035299999</v>
      </c>
      <c r="I60" s="302">
        <f t="shared" si="4"/>
        <v>0.24148047562963937</v>
      </c>
      <c r="J60" s="311">
        <v>10066.09298361</v>
      </c>
      <c r="K60" s="311">
        <v>12358.55292523</v>
      </c>
      <c r="L60" s="311">
        <v>14528.182314719999</v>
      </c>
      <c r="M60" s="312">
        <v>20922.92505432</v>
      </c>
      <c r="N60" t="str">
        <f t="shared" si="5"/>
        <v>MalaysiaManufacture of food products (C10)</v>
      </c>
      <c r="O60" s="11">
        <f>INDEX('Base de dados IHS'!$A$1:$V$676,MATCH($N60,'Base de dados IHS'!$C$1:$C$676,0),MATCH($O$1,'Base de dados IHS'!$A$1:$V$1,0))</f>
        <v>301830.41438700003</v>
      </c>
      <c r="P60" s="11">
        <f>INDEX('Base de dados IHS'!$A$1:$V$676,MATCH($N60,'Base de dados IHS'!$C$1:$C$676,0),MATCH($P$1,'Base de dados IHS'!$A$1:$V$1,0))</f>
        <v>356559.39228144003</v>
      </c>
      <c r="Q60" s="131">
        <f>INDEX('Base de dados IHS'!$A$1:$V$676,MATCH($N60,'Base de dados IHS'!$C$1:$C$676,0),MATCH($Q$1,'Base de dados IHS'!$A$1:$V$1,0))</f>
        <v>2.0713144545049102E-2</v>
      </c>
      <c r="R60" s="131">
        <f>INDEX('Base de dados IHS'!$A$1:$V$676,MATCH($N60,'Base de dados IHS'!$C$1:$C$676,0),MATCH($R$1,'Base de dados IHS'!$A$1:$V$1,0))</f>
        <v>2.1767925825394142E-2</v>
      </c>
      <c r="S60" s="131">
        <f>INDEX('Base de dados IHS'!$A$1:$V$676,MATCH($N60,'Base de dados IHS'!$C$1:$C$676,0),MATCH($S$1,'Base de dados IHS'!$A$1:$V$1,0))</f>
        <v>1.05478128034504E-3</v>
      </c>
      <c r="T60" t="str">
        <f>IF(Q60&lt;'Cenario A ranking setor PIB'!$G$16,"N","Y")</f>
        <v>N</v>
      </c>
    </row>
    <row r="61" spans="1:20" x14ac:dyDescent="0.45">
      <c r="A61" s="293" t="s">
        <v>149</v>
      </c>
      <c r="B61" s="297" t="s">
        <v>0</v>
      </c>
      <c r="C61" s="297" t="s">
        <v>958</v>
      </c>
      <c r="D61" s="311">
        <v>4806.17061964</v>
      </c>
      <c r="E61" s="311">
        <v>4229.69325123</v>
      </c>
      <c r="F61" s="302">
        <f t="shared" si="3"/>
        <v>-0.1199452566361825</v>
      </c>
      <c r="G61" s="311">
        <v>4001.4698188799998</v>
      </c>
      <c r="H61" s="311">
        <v>4229.69325123</v>
      </c>
      <c r="I61" s="302">
        <f t="shared" si="4"/>
        <v>5.7034900344163919E-2</v>
      </c>
      <c r="J61" s="311">
        <v>3037.1575880199998</v>
      </c>
      <c r="K61" s="311">
        <v>3118.9030955799999</v>
      </c>
      <c r="L61" s="311">
        <v>3688.5150223800001</v>
      </c>
      <c r="M61" s="312">
        <v>5504.6037242900002</v>
      </c>
      <c r="N61" t="str">
        <f t="shared" si="5"/>
        <v>UkraineManufacture of food products (C10)</v>
      </c>
      <c r="O61" s="11">
        <f>INDEX('Base de dados IHS'!$A$1:$V$676,MATCH($N61,'Base de dados IHS'!$C$1:$C$676,0),MATCH($O$1,'Base de dados IHS'!$A$1:$V$1,0))</f>
        <v>137743.94890503999</v>
      </c>
      <c r="P61" s="11">
        <f>INDEX('Base de dados IHS'!$A$1:$V$676,MATCH($N61,'Base de dados IHS'!$C$1:$C$676,0),MATCH($P$1,'Base de dados IHS'!$A$1:$V$1,0))</f>
        <v>153275.23415388001</v>
      </c>
      <c r="Q61" s="131">
        <f>INDEX('Base de dados IHS'!$A$1:$V$676,MATCH($N61,'Base de dados IHS'!$C$1:$C$676,0),MATCH($Q$1,'Base de dados IHS'!$A$1:$V$1,0))</f>
        <v>2.9050058827909703E-2</v>
      </c>
      <c r="R61" s="131">
        <f>INDEX('Base de dados IHS'!$A$1:$V$676,MATCH($N61,'Base de dados IHS'!$C$1:$C$676,0),MATCH($R$1,'Base de dados IHS'!$A$1:$V$1,0))</f>
        <v>2.7595412100193679E-2</v>
      </c>
      <c r="S61" s="131">
        <f>INDEX('Base de dados IHS'!$A$1:$V$676,MATCH($N61,'Base de dados IHS'!$C$1:$C$676,0),MATCH($S$1,'Base de dados IHS'!$A$1:$V$1,0))</f>
        <v>-1.4546467277160233E-3</v>
      </c>
      <c r="T61" t="str">
        <f>IF(Q61&lt;'Cenario A ranking setor PIB'!$G$16,"N","Y")</f>
        <v>Y</v>
      </c>
    </row>
    <row r="62" spans="1:20" hidden="1" x14ac:dyDescent="0.45">
      <c r="A62" s="293" t="s">
        <v>124</v>
      </c>
      <c r="B62" s="297" t="s">
        <v>0</v>
      </c>
      <c r="C62" s="297" t="s">
        <v>958</v>
      </c>
      <c r="D62" s="311">
        <v>1267.4102103800001</v>
      </c>
      <c r="E62" s="311">
        <v>4168.0855746899997</v>
      </c>
      <c r="F62" s="302">
        <f t="shared" si="3"/>
        <v>2.2886634023883294</v>
      </c>
      <c r="G62" s="311">
        <v>2503.4972333000001</v>
      </c>
      <c r="H62" s="311">
        <v>4168.0855746899997</v>
      </c>
      <c r="I62" s="302">
        <f t="shared" si="4"/>
        <v>0.6649052051061437</v>
      </c>
      <c r="J62" s="311">
        <v>4562.3776190999997</v>
      </c>
      <c r="K62" s="311">
        <v>6183.7872184999997</v>
      </c>
      <c r="L62" s="311">
        <v>7603.4665999099998</v>
      </c>
      <c r="M62" s="312">
        <v>11917.58010427</v>
      </c>
      <c r="N62" t="str">
        <f t="shared" si="5"/>
        <v>BangladeshManufacture of food products (C10)</v>
      </c>
      <c r="O62" s="11">
        <f>INDEX('Base de dados IHS'!$A$1:$V$676,MATCH($N62,'Base de dados IHS'!$C$1:$C$676,0),MATCH($O$1,'Base de dados IHS'!$A$1:$V$1,0))</f>
        <v>264392.25455249997</v>
      </c>
      <c r="P62" s="11">
        <f>INDEX('Base de dados IHS'!$A$1:$V$676,MATCH($N62,'Base de dados IHS'!$C$1:$C$676,0),MATCH($P$1,'Base de dados IHS'!$A$1:$V$1,0))</f>
        <v>386628.84638325998</v>
      </c>
      <c r="Q62" s="131">
        <f>INDEX('Base de dados IHS'!$A$1:$V$676,MATCH($N62,'Base de dados IHS'!$C$1:$C$676,0),MATCH($Q$1,'Base de dados IHS'!$A$1:$V$1,0))</f>
        <v>9.4688750906766241E-3</v>
      </c>
      <c r="R62" s="131">
        <f>INDEX('Base de dados IHS'!$A$1:$V$676,MATCH($N62,'Base de dados IHS'!$C$1:$C$676,0),MATCH($R$1,'Base de dados IHS'!$A$1:$V$1,0))</f>
        <v>1.0780586119428431E-2</v>
      </c>
      <c r="S62" s="131">
        <f>INDEX('Base de dados IHS'!$A$1:$V$676,MATCH($N62,'Base de dados IHS'!$C$1:$C$676,0),MATCH($S$1,'Base de dados IHS'!$A$1:$V$1,0))</f>
        <v>1.3117110287518066E-3</v>
      </c>
      <c r="T62" t="str">
        <f>IF(Q62&lt;'Cenario A ranking setor PIB'!$G$16,"N","Y")</f>
        <v>N</v>
      </c>
    </row>
    <row r="63" spans="1:20" hidden="1" x14ac:dyDescent="0.45">
      <c r="A63" s="293" t="s">
        <v>67</v>
      </c>
      <c r="B63" s="297" t="s">
        <v>0</v>
      </c>
      <c r="C63" s="297" t="s">
        <v>958</v>
      </c>
      <c r="D63" s="311">
        <v>7827.7837417500004</v>
      </c>
      <c r="E63" s="311">
        <v>8791.8607585000009</v>
      </c>
      <c r="F63" s="302">
        <f t="shared" si="3"/>
        <v>0.12316091611065239</v>
      </c>
      <c r="G63" s="311">
        <v>6992.2944412200004</v>
      </c>
      <c r="H63" s="311">
        <v>8791.8607585000009</v>
      </c>
      <c r="I63" s="302">
        <f t="shared" si="4"/>
        <v>0.25736420747264988</v>
      </c>
      <c r="J63" s="311">
        <v>9350.1054077400004</v>
      </c>
      <c r="K63" s="311">
        <v>9656.3217686400003</v>
      </c>
      <c r="L63" s="311">
        <v>9848.6637566099998</v>
      </c>
      <c r="M63" s="312">
        <v>10319.32491306</v>
      </c>
      <c r="N63" t="str">
        <f t="shared" si="5"/>
        <v>SwitzerlandManufacture of food products (C10)</v>
      </c>
      <c r="O63" s="11">
        <f>INDEX('Base de dados IHS'!$A$1:$V$676,MATCH($N63,'Base de dados IHS'!$C$1:$C$676,0),MATCH($O$1,'Base de dados IHS'!$A$1:$V$1,0))</f>
        <v>669989.49931316997</v>
      </c>
      <c r="P63" s="11">
        <f>INDEX('Base de dados IHS'!$A$1:$V$676,MATCH($N63,'Base de dados IHS'!$C$1:$C$676,0),MATCH($P$1,'Base de dados IHS'!$A$1:$V$1,0))</f>
        <v>743458.79269773001</v>
      </c>
      <c r="Q63" s="131">
        <f>INDEX('Base de dados IHS'!$A$1:$V$676,MATCH($N63,'Base de dados IHS'!$C$1:$C$676,0),MATCH($Q$1,'Base de dados IHS'!$A$1:$V$1,0))</f>
        <v>1.043642392662579E-2</v>
      </c>
      <c r="R63" s="131">
        <f>INDEX('Base de dados IHS'!$A$1:$V$676,MATCH($N63,'Base de dados IHS'!$C$1:$C$676,0),MATCH($R$1,'Base de dados IHS'!$A$1:$V$1,0))</f>
        <v>1.1825619449058734E-2</v>
      </c>
      <c r="S63" s="131">
        <f>INDEX('Base de dados IHS'!$A$1:$V$676,MATCH($N63,'Base de dados IHS'!$C$1:$C$676,0),MATCH($S$1,'Base de dados IHS'!$A$1:$V$1,0))</f>
        <v>1.3891955224329434E-3</v>
      </c>
      <c r="T63" t="str">
        <f>IF(Q63&lt;'Cenario A ranking setor PIB'!$G$16,"N","Y")</f>
        <v>N</v>
      </c>
    </row>
    <row r="64" spans="1:20" hidden="1" x14ac:dyDescent="0.45">
      <c r="A64" s="293" t="s">
        <v>72</v>
      </c>
      <c r="B64" s="297" t="s">
        <v>0</v>
      </c>
      <c r="C64" s="297" t="s">
        <v>958</v>
      </c>
      <c r="D64" s="311">
        <v>4193.8946867200002</v>
      </c>
      <c r="E64" s="311">
        <v>5376.7784507300003</v>
      </c>
      <c r="F64" s="302">
        <f t="shared" si="3"/>
        <v>0.28204899082363966</v>
      </c>
      <c r="G64" s="311">
        <v>4508.0151672600005</v>
      </c>
      <c r="H64" s="311">
        <v>5376.7784507300003</v>
      </c>
      <c r="I64" s="302">
        <f t="shared" si="4"/>
        <v>0.19271525299637338</v>
      </c>
      <c r="J64" s="311">
        <v>6187.56361044</v>
      </c>
      <c r="K64" s="311">
        <v>6690.7946148399997</v>
      </c>
      <c r="L64" s="311">
        <v>7065.2497263300002</v>
      </c>
      <c r="M64" s="312">
        <v>8005.3295769400002</v>
      </c>
      <c r="N64" t="str">
        <f t="shared" si="5"/>
        <v>AustriaManufacture of food products (C10)</v>
      </c>
      <c r="O64" s="11">
        <f>INDEX('Base de dados IHS'!$A$1:$V$676,MATCH($N64,'Base de dados IHS'!$C$1:$C$676,0),MATCH($O$1,'Base de dados IHS'!$A$1:$V$1,0))</f>
        <v>410010.85265116999</v>
      </c>
      <c r="P64" s="11">
        <f>INDEX('Base de dados IHS'!$A$1:$V$676,MATCH($N64,'Base de dados IHS'!$C$1:$C$676,0),MATCH($P$1,'Base de dados IHS'!$A$1:$V$1,0))</f>
        <v>432694.04992214998</v>
      </c>
      <c r="Q64" s="131">
        <f>INDEX('Base de dados IHS'!$A$1:$V$676,MATCH($N64,'Base de dados IHS'!$C$1:$C$676,0),MATCH($Q$1,'Base de dados IHS'!$A$1:$V$1,0))</f>
        <v>1.0994867911692427E-2</v>
      </c>
      <c r="R64" s="131">
        <f>INDEX('Base de dados IHS'!$A$1:$V$676,MATCH($N64,'Base de dados IHS'!$C$1:$C$676,0),MATCH($R$1,'Base de dados IHS'!$A$1:$V$1,0))</f>
        <v>1.2426282385203555E-2</v>
      </c>
      <c r="S64" s="131">
        <f>INDEX('Base de dados IHS'!$A$1:$V$676,MATCH($N64,'Base de dados IHS'!$C$1:$C$676,0),MATCH($S$1,'Base de dados IHS'!$A$1:$V$1,0))</f>
        <v>1.4314144735111285E-3</v>
      </c>
      <c r="T64" t="str">
        <f>IF(Q64&lt;'Cenario A ranking setor PIB'!$G$16,"N","Y")</f>
        <v>N</v>
      </c>
    </row>
    <row r="65" spans="1:20" x14ac:dyDescent="0.45">
      <c r="A65" s="294" t="s">
        <v>18</v>
      </c>
      <c r="B65" s="299" t="s">
        <v>0</v>
      </c>
      <c r="C65" s="297" t="s">
        <v>958</v>
      </c>
      <c r="D65" s="313">
        <v>60382.66782653</v>
      </c>
      <c r="E65" s="313">
        <v>51895.62553456</v>
      </c>
      <c r="F65" s="304">
        <f t="shared" si="3"/>
        <v>-0.14055427819704736</v>
      </c>
      <c r="G65" s="313">
        <v>53584.046462389997</v>
      </c>
      <c r="H65" s="313">
        <v>51895.62553456</v>
      </c>
      <c r="I65" s="304">
        <f t="shared" si="4"/>
        <v>-3.1509769032002422E-2</v>
      </c>
      <c r="J65" s="313">
        <v>58113.795542120002</v>
      </c>
      <c r="K65" s="313">
        <v>63786.176358429999</v>
      </c>
      <c r="L65" s="313">
        <v>68339.408654479994</v>
      </c>
      <c r="M65" s="314">
        <v>79490.261690259998</v>
      </c>
      <c r="N65" t="str">
        <f t="shared" si="5"/>
        <v>BrazilManufacture of food products (C10)</v>
      </c>
      <c r="O65" s="11">
        <f>INDEX('Base de dados IHS'!$A$1:$V$676,MATCH($N65,'Base de dados IHS'!$C$1:$C$676,0),MATCH($O$1,'Base de dados IHS'!$A$1:$V$1,0))</f>
        <v>1855726.8356911</v>
      </c>
      <c r="P65" s="11">
        <f>INDEX('Base de dados IHS'!$A$1:$V$676,MATCH($N65,'Base de dados IHS'!$C$1:$C$676,0),MATCH($P$1,'Base de dados IHS'!$A$1:$V$1,0))</f>
        <v>1898091.4722179</v>
      </c>
      <c r="Q65" s="131">
        <f>INDEX('Base de dados IHS'!$A$1:$V$676,MATCH($N65,'Base de dados IHS'!$C$1:$C$676,0),MATCH($Q$1,'Base de dados IHS'!$A$1:$V$1,0))</f>
        <v>2.887496447850554E-2</v>
      </c>
      <c r="R65" s="131">
        <f>INDEX('Base de dados IHS'!$A$1:$V$676,MATCH($N65,'Base de dados IHS'!$C$1:$C$676,0),MATCH($R$1,'Base de dados IHS'!$A$1:$V$1,0))</f>
        <v>2.7340950788804982E-2</v>
      </c>
      <c r="S65" s="131">
        <f>INDEX('Base de dados IHS'!$A$1:$V$676,MATCH($N65,'Base de dados IHS'!$C$1:$C$676,0),MATCH($S$1,'Base de dados IHS'!$A$1:$V$1,0))</f>
        <v>-1.5340136897005578E-3</v>
      </c>
      <c r="T65" t="str">
        <f>IF(Q65&lt;'Cenario A ranking setor PIB'!$G$16,"N","Y")</f>
        <v>Y</v>
      </c>
    </row>
    <row r="66" spans="1:20" x14ac:dyDescent="0.45">
      <c r="A66" s="293" t="s">
        <v>170</v>
      </c>
      <c r="B66" s="297" t="s">
        <v>0</v>
      </c>
      <c r="C66" s="297" t="s">
        <v>958</v>
      </c>
      <c r="D66" s="311">
        <v>6350.8630193700001</v>
      </c>
      <c r="E66" s="311">
        <v>8562.1119372699995</v>
      </c>
      <c r="F66" s="302">
        <f t="shared" ref="F66:F76" si="6">H66/D66-1</f>
        <v>0.34818085528781473</v>
      </c>
      <c r="G66" s="311">
        <v>8150.6612903100004</v>
      </c>
      <c r="H66" s="311">
        <v>8562.1119372699995</v>
      </c>
      <c r="I66" s="302">
        <f t="shared" ref="I66:I97" si="7">H66/G66-1</f>
        <v>5.048064596294255E-2</v>
      </c>
      <c r="J66" s="311">
        <v>8871.9680020100004</v>
      </c>
      <c r="K66" s="311">
        <v>9239.1906966499992</v>
      </c>
      <c r="L66" s="311">
        <v>9573.5280038500005</v>
      </c>
      <c r="M66" s="312">
        <v>10443.46709728</v>
      </c>
      <c r="N66" t="str">
        <f t="shared" ref="N66:N76" si="8">A66&amp;B66</f>
        <v>ChileManufacture of food products (C10)</v>
      </c>
      <c r="O66" s="11">
        <f>INDEX('Base de dados IHS'!$A$1:$V$676,MATCH($N66,'Base de dados IHS'!$C$1:$C$676,0),MATCH($O$1,'Base de dados IHS'!$A$1:$V$1,0))</f>
        <v>257576.69277617999</v>
      </c>
      <c r="P66" s="11">
        <f>INDEX('Base de dados IHS'!$A$1:$V$676,MATCH($N66,'Base de dados IHS'!$C$1:$C$676,0),MATCH($P$1,'Base de dados IHS'!$A$1:$V$1,0))</f>
        <v>291863.26262717001</v>
      </c>
      <c r="Q66" s="131">
        <f>INDEX('Base de dados IHS'!$A$1:$V$676,MATCH($N66,'Base de dados IHS'!$C$1:$C$676,0),MATCH($Q$1,'Base de dados IHS'!$A$1:$V$1,0))</f>
        <v>3.1643628941972937E-2</v>
      </c>
      <c r="R66" s="131">
        <f>INDEX('Base de dados IHS'!$A$1:$V$676,MATCH($N66,'Base de dados IHS'!$C$1:$C$676,0),MATCH($R$1,'Base de dados IHS'!$A$1:$V$1,0))</f>
        <v>2.9336038596290737E-2</v>
      </c>
      <c r="S66" s="131">
        <f>INDEX('Base de dados IHS'!$A$1:$V$676,MATCH($N66,'Base de dados IHS'!$C$1:$C$676,0),MATCH($S$1,'Base de dados IHS'!$A$1:$V$1,0))</f>
        <v>-2.3075903456821999E-3</v>
      </c>
      <c r="T66" t="str">
        <f>IF(Q66&lt;'Cenario A ranking setor PIB'!$G$16,"N","Y")</f>
        <v>Y</v>
      </c>
    </row>
    <row r="67" spans="1:20" hidden="1" x14ac:dyDescent="0.45">
      <c r="A67" s="293" t="s">
        <v>122</v>
      </c>
      <c r="B67" s="297" t="s">
        <v>0</v>
      </c>
      <c r="C67" s="297" t="s">
        <v>958</v>
      </c>
      <c r="D67" s="311">
        <v>3977.6018618500002</v>
      </c>
      <c r="E67" s="311">
        <v>9210.5727415900001</v>
      </c>
      <c r="F67" s="302">
        <f t="shared" si="6"/>
        <v>1.3156095208850598</v>
      </c>
      <c r="G67" s="311">
        <v>6179.6414286199997</v>
      </c>
      <c r="H67" s="311">
        <v>9210.5727415900001</v>
      </c>
      <c r="I67" s="302">
        <f t="shared" si="7"/>
        <v>0.49047041773859834</v>
      </c>
      <c r="J67" s="311">
        <v>13675.16450003</v>
      </c>
      <c r="K67" s="311">
        <v>19100.534780040001</v>
      </c>
      <c r="L67" s="311">
        <v>24014.18098745</v>
      </c>
      <c r="M67" s="312">
        <v>39257.964978960001</v>
      </c>
      <c r="N67" t="str">
        <f t="shared" si="8"/>
        <v>VietnamManufacture of food products (C10)</v>
      </c>
      <c r="O67" s="11">
        <f>INDEX('Base de dados IHS'!$A$1:$V$676,MATCH($N67,'Base de dados IHS'!$C$1:$C$676,0),MATCH($O$1,'Base de dados IHS'!$A$1:$V$1,0))</f>
        <v>254018.52751081</v>
      </c>
      <c r="P67" s="11">
        <f>INDEX('Base de dados IHS'!$A$1:$V$676,MATCH($N67,'Base de dados IHS'!$C$1:$C$676,0),MATCH($P$1,'Base de dados IHS'!$A$1:$V$1,0))</f>
        <v>352775.42056751001</v>
      </c>
      <c r="Q67" s="131">
        <f>INDEX('Base de dados IHS'!$A$1:$V$676,MATCH($N67,'Base de dados IHS'!$C$1:$C$676,0),MATCH($Q$1,'Base de dados IHS'!$A$1:$V$1,0))</f>
        <v>2.4327522441673154E-2</v>
      </c>
      <c r="R67" s="131">
        <f>INDEX('Base de dados IHS'!$A$1:$V$676,MATCH($N67,'Base de dados IHS'!$C$1:$C$676,0),MATCH($R$1,'Base de dados IHS'!$A$1:$V$1,0))</f>
        <v>2.6108884589444884E-2</v>
      </c>
      <c r="S67" s="131">
        <f>INDEX('Base de dados IHS'!$A$1:$V$676,MATCH($N67,'Base de dados IHS'!$C$1:$C$676,0),MATCH($S$1,'Base de dados IHS'!$A$1:$V$1,0))</f>
        <v>1.7813621477717305E-3</v>
      </c>
      <c r="T67" t="str">
        <f>IF(Q67&lt;'Cenario A ranking setor PIB'!$G$16,"N","Y")</f>
        <v>N</v>
      </c>
    </row>
    <row r="68" spans="1:20" x14ac:dyDescent="0.45">
      <c r="A68" s="293" t="s">
        <v>163</v>
      </c>
      <c r="B68" s="297" t="s">
        <v>0</v>
      </c>
      <c r="C68" s="297" t="s">
        <v>958</v>
      </c>
      <c r="D68" s="311">
        <v>5084.1947861299996</v>
      </c>
      <c r="E68" s="311">
        <v>6119.1127380500002</v>
      </c>
      <c r="F68" s="302">
        <f t="shared" si="6"/>
        <v>0.20355592093822228</v>
      </c>
      <c r="G68" s="311">
        <v>5575.3076677999998</v>
      </c>
      <c r="H68" s="311">
        <v>6119.1127380500002</v>
      </c>
      <c r="I68" s="302">
        <f t="shared" si="7"/>
        <v>9.7538127517289963E-2</v>
      </c>
      <c r="J68" s="311">
        <v>6190.5853417799999</v>
      </c>
      <c r="K68" s="311">
        <v>6812.5900694399998</v>
      </c>
      <c r="L68" s="311">
        <v>7314.6526825999999</v>
      </c>
      <c r="M68" s="312">
        <v>8371.2105859799995</v>
      </c>
      <c r="N68" t="str">
        <f t="shared" si="8"/>
        <v>New ZealandManufacture of food products (C10)</v>
      </c>
      <c r="O68" s="11">
        <f>INDEX('Base de dados IHS'!$A$1:$V$676,MATCH($N68,'Base de dados IHS'!$C$1:$C$676,0),MATCH($O$1,'Base de dados IHS'!$A$1:$V$1,0))</f>
        <v>180884.85070677</v>
      </c>
      <c r="P68" s="11">
        <f>INDEX('Base de dados IHS'!$A$1:$V$676,MATCH($N68,'Base de dados IHS'!$C$1:$C$676,0),MATCH($P$1,'Base de dados IHS'!$A$1:$V$1,0))</f>
        <v>220909.49174857</v>
      </c>
      <c r="Q68" s="131">
        <f>INDEX('Base de dados IHS'!$A$1:$V$676,MATCH($N68,'Base de dados IHS'!$C$1:$C$676,0),MATCH($Q$1,'Base de dados IHS'!$A$1:$V$1,0))</f>
        <v>3.0822413518963268E-2</v>
      </c>
      <c r="R68" s="131">
        <f>INDEX('Base de dados IHS'!$A$1:$V$676,MATCH($N68,'Base de dados IHS'!$C$1:$C$676,0),MATCH($R$1,'Base de dados IHS'!$A$1:$V$1,0))</f>
        <v>2.7699637030601292E-2</v>
      </c>
      <c r="S68" s="131">
        <f>INDEX('Base de dados IHS'!$A$1:$V$676,MATCH($N68,'Base de dados IHS'!$C$1:$C$676,0),MATCH($S$1,'Base de dados IHS'!$A$1:$V$1,0))</f>
        <v>-3.1227764883619766E-3</v>
      </c>
      <c r="T68" t="str">
        <f>IF(Q68&lt;'Cenario A ranking setor PIB'!$G$16,"N","Y")</f>
        <v>Y</v>
      </c>
    </row>
    <row r="69" spans="1:20" hidden="1" x14ac:dyDescent="0.45">
      <c r="A69" s="293" t="s">
        <v>106</v>
      </c>
      <c r="B69" s="297" t="s">
        <v>0</v>
      </c>
      <c r="C69" s="297" t="s">
        <v>958</v>
      </c>
      <c r="D69" s="311">
        <v>13918.75773306</v>
      </c>
      <c r="E69" s="311">
        <v>21869.79520379</v>
      </c>
      <c r="F69" s="302">
        <f t="shared" si="6"/>
        <v>0.57124620050283648</v>
      </c>
      <c r="G69" s="311">
        <v>16662.770487760001</v>
      </c>
      <c r="H69" s="311">
        <v>21869.79520379</v>
      </c>
      <c r="I69" s="302">
        <f t="shared" si="7"/>
        <v>0.3124945350387518</v>
      </c>
      <c r="J69" s="311">
        <v>24443.924137739999</v>
      </c>
      <c r="K69" s="311">
        <v>25311.20952239</v>
      </c>
      <c r="L69" s="311">
        <v>26286.822254580002</v>
      </c>
      <c r="M69" s="312">
        <v>28762.034684350001</v>
      </c>
      <c r="N69" t="str">
        <f t="shared" si="8"/>
        <v>RussiaManufacture of food products (C10)</v>
      </c>
      <c r="O69" s="11">
        <f>INDEX('Base de dados IHS'!$A$1:$V$676,MATCH($N69,'Base de dados IHS'!$C$1:$C$676,0),MATCH($O$1,'Base de dados IHS'!$A$1:$V$1,0))</f>
        <v>1579786.0768998</v>
      </c>
      <c r="P69" s="11">
        <f>INDEX('Base de dados IHS'!$A$1:$V$676,MATCH($N69,'Base de dados IHS'!$C$1:$C$676,0),MATCH($P$1,'Base de dados IHS'!$A$1:$V$1,0))</f>
        <v>1741025.8573970001</v>
      </c>
      <c r="Q69" s="131">
        <f>INDEX('Base de dados IHS'!$A$1:$V$676,MATCH($N69,'Base de dados IHS'!$C$1:$C$676,0),MATCH($Q$1,'Base de dados IHS'!$A$1:$V$1,0))</f>
        <v>1.0547485340837612E-2</v>
      </c>
      <c r="R69" s="131">
        <f>INDEX('Base de dados IHS'!$A$1:$V$676,MATCH($N69,'Base de dados IHS'!$C$1:$C$676,0),MATCH($R$1,'Base de dados IHS'!$A$1:$V$1,0))</f>
        <v>1.256144192854633E-2</v>
      </c>
      <c r="S69" s="131">
        <f>INDEX('Base de dados IHS'!$A$1:$V$676,MATCH($N69,'Base de dados IHS'!$C$1:$C$676,0),MATCH($S$1,'Base de dados IHS'!$A$1:$V$1,0))</f>
        <v>2.0139565877087175E-3</v>
      </c>
      <c r="T69" t="str">
        <f>IF(Q69&lt;'Cenario A ranking setor PIB'!$G$16,"N","Y")</f>
        <v>N</v>
      </c>
    </row>
    <row r="70" spans="1:20" hidden="1" x14ac:dyDescent="0.45">
      <c r="A70" s="293" t="s">
        <v>164</v>
      </c>
      <c r="B70" s="297" t="s">
        <v>0</v>
      </c>
      <c r="C70" s="297" t="s">
        <v>958</v>
      </c>
      <c r="D70" s="311">
        <v>1869.2202710700001</v>
      </c>
      <c r="E70" s="311">
        <v>2897.74387166</v>
      </c>
      <c r="F70" s="302">
        <f t="shared" si="6"/>
        <v>0.55024205360304634</v>
      </c>
      <c r="G70" s="311">
        <v>2308.4993163499998</v>
      </c>
      <c r="H70" s="311">
        <v>2897.74387166</v>
      </c>
      <c r="I70" s="302">
        <f t="shared" si="7"/>
        <v>0.25525004540250973</v>
      </c>
      <c r="J70" s="311">
        <v>3179.3640058199999</v>
      </c>
      <c r="K70" s="311">
        <v>3456.6856610200002</v>
      </c>
      <c r="L70" s="311">
        <v>3683.0106549400002</v>
      </c>
      <c r="M70" s="312">
        <v>4354.0130792</v>
      </c>
      <c r="N70" t="str">
        <f t="shared" si="8"/>
        <v>MoroccoManufacture of food products (C10)</v>
      </c>
      <c r="O70" s="11">
        <f>INDEX('Base de dados IHS'!$A$1:$V$676,MATCH($N70,'Base de dados IHS'!$C$1:$C$676,0),MATCH($O$1,'Base de dados IHS'!$A$1:$V$1,0))</f>
        <v>115608.87885166</v>
      </c>
      <c r="P70" s="11">
        <f>INDEX('Base de dados IHS'!$A$1:$V$676,MATCH($N70,'Base de dados IHS'!$C$1:$C$676,0),MATCH($P$1,'Base de dados IHS'!$A$1:$V$1,0))</f>
        <v>129710.11086108</v>
      </c>
      <c r="Q70" s="131">
        <f>INDEX('Base de dados IHS'!$A$1:$V$676,MATCH($N70,'Base de dados IHS'!$C$1:$C$676,0),MATCH($Q$1,'Base de dados IHS'!$A$1:$V$1,0))</f>
        <v>1.9968183579671939E-2</v>
      </c>
      <c r="R70" s="131">
        <f>INDEX('Base de dados IHS'!$A$1:$V$676,MATCH($N70,'Base de dados IHS'!$C$1:$C$676,0),MATCH($R$1,'Base de dados IHS'!$A$1:$V$1,0))</f>
        <v>2.2340154151618098E-2</v>
      </c>
      <c r="S70" s="131">
        <f>INDEX('Base de dados IHS'!$A$1:$V$676,MATCH($N70,'Base de dados IHS'!$C$1:$C$676,0),MATCH($S$1,'Base de dados IHS'!$A$1:$V$1,0))</f>
        <v>2.3719705719461581E-3</v>
      </c>
      <c r="T70" t="str">
        <f>IF(Q70&lt;'Cenario A ranking setor PIB'!$G$16,"N","Y")</f>
        <v>N</v>
      </c>
    </row>
    <row r="71" spans="1:20" hidden="1" x14ac:dyDescent="0.45">
      <c r="A71" s="293" t="s">
        <v>76</v>
      </c>
      <c r="B71" s="297" t="s">
        <v>0</v>
      </c>
      <c r="C71" s="297" t="s">
        <v>958</v>
      </c>
      <c r="D71" s="311">
        <v>24256.11741318</v>
      </c>
      <c r="E71" s="311">
        <v>34355.297813899997</v>
      </c>
      <c r="F71" s="302">
        <f t="shared" si="6"/>
        <v>0.41635601562649205</v>
      </c>
      <c r="G71" s="311">
        <v>24482.857654669999</v>
      </c>
      <c r="H71" s="311">
        <v>34355.297813899997</v>
      </c>
      <c r="I71" s="302">
        <f t="shared" si="7"/>
        <v>0.40323888242461248</v>
      </c>
      <c r="J71" s="311">
        <v>36474.546033289997</v>
      </c>
      <c r="K71" s="311">
        <v>38048.483775269997</v>
      </c>
      <c r="L71" s="311">
        <v>39115.852574299999</v>
      </c>
      <c r="M71" s="312">
        <v>42725.366628000003</v>
      </c>
      <c r="N71" t="str">
        <f t="shared" si="8"/>
        <v>United KingdomManufacture of food products (C10)</v>
      </c>
      <c r="O71" s="11">
        <f>INDEX('Base de dados IHS'!$A$1:$V$676,MATCH($N71,'Base de dados IHS'!$C$1:$C$676,0),MATCH($O$1,'Base de dados IHS'!$A$1:$V$1,0))</f>
        <v>2643868.3114987002</v>
      </c>
      <c r="P71" s="11">
        <f>INDEX('Base de dados IHS'!$A$1:$V$676,MATCH($N71,'Base de dados IHS'!$C$1:$C$676,0),MATCH($P$1,'Base de dados IHS'!$A$1:$V$1,0))</f>
        <v>2777419.6130784</v>
      </c>
      <c r="Q71" s="131">
        <f>INDEX('Base de dados IHS'!$A$1:$V$676,MATCH($N71,'Base de dados IHS'!$C$1:$C$676,0),MATCH($Q$1,'Base de dados IHS'!$A$1:$V$1,0))</f>
        <v>9.2602409689579706E-3</v>
      </c>
      <c r="R71" s="131">
        <f>INDEX('Base de dados IHS'!$A$1:$V$676,MATCH($N71,'Base de dados IHS'!$C$1:$C$676,0),MATCH($R$1,'Base de dados IHS'!$A$1:$V$1,0))</f>
        <v>1.2369502127847985E-2</v>
      </c>
      <c r="S71" s="131">
        <f>INDEX('Base de dados IHS'!$A$1:$V$676,MATCH($N71,'Base de dados IHS'!$C$1:$C$676,0),MATCH($S$1,'Base de dados IHS'!$A$1:$V$1,0))</f>
        <v>3.1092611588900143E-3</v>
      </c>
      <c r="T71" t="str">
        <f>IF(Q71&lt;'Cenario A ranking setor PIB'!$G$16,"N","Y")</f>
        <v>N</v>
      </c>
    </row>
    <row r="72" spans="1:20" x14ac:dyDescent="0.45">
      <c r="A72" s="293" t="s">
        <v>175</v>
      </c>
      <c r="B72" s="297" t="s">
        <v>0</v>
      </c>
      <c r="C72" s="297" t="s">
        <v>958</v>
      </c>
      <c r="D72" s="311">
        <v>2436.3507146000002</v>
      </c>
      <c r="E72" s="311">
        <v>3498.6056005400001</v>
      </c>
      <c r="F72" s="302">
        <f t="shared" si="6"/>
        <v>0.43600245218160261</v>
      </c>
      <c r="G72" s="311">
        <v>3006.9675425300002</v>
      </c>
      <c r="H72" s="311">
        <v>3498.6056005400001</v>
      </c>
      <c r="I72" s="302">
        <f t="shared" si="7"/>
        <v>0.16349962247891314</v>
      </c>
      <c r="J72" s="311">
        <v>4170.6760057800002</v>
      </c>
      <c r="K72" s="311">
        <v>5428.8250451900003</v>
      </c>
      <c r="L72" s="311">
        <v>6611.8125977</v>
      </c>
      <c r="M72" s="312">
        <v>10292.44497986</v>
      </c>
      <c r="N72" t="str">
        <f t="shared" si="8"/>
        <v>KenyaManufacture of food products (C10)</v>
      </c>
      <c r="O72" s="11">
        <f>INDEX('Base de dados IHS'!$A$1:$V$676,MATCH($N72,'Base de dados IHS'!$C$1:$C$676,0),MATCH($O$1,'Base de dados IHS'!$A$1:$V$1,0))</f>
        <v>83525.195225389994</v>
      </c>
      <c r="P72" s="11">
        <f>INDEX('Base de dados IHS'!$A$1:$V$676,MATCH($N72,'Base de dados IHS'!$C$1:$C$676,0),MATCH($P$1,'Base de dados IHS'!$A$1:$V$1,0))</f>
        <v>107697.99713524</v>
      </c>
      <c r="Q72" s="131">
        <f>INDEX('Base de dados IHS'!$A$1:$V$676,MATCH($N72,'Base de dados IHS'!$C$1:$C$676,0),MATCH($Q$1,'Base de dados IHS'!$A$1:$V$1,0))</f>
        <v>3.6000724504932878E-2</v>
      </c>
      <c r="R72" s="131">
        <f>INDEX('Base de dados IHS'!$A$1:$V$676,MATCH($N72,'Base de dados IHS'!$C$1:$C$676,0),MATCH($R$1,'Base de dados IHS'!$A$1:$V$1,0))</f>
        <v>3.2485335787133376E-2</v>
      </c>
      <c r="S72" s="131">
        <f>INDEX('Base de dados IHS'!$A$1:$V$676,MATCH($N72,'Base de dados IHS'!$C$1:$C$676,0),MATCH($S$1,'Base de dados IHS'!$A$1:$V$1,0))</f>
        <v>-3.5153887177995016E-3</v>
      </c>
      <c r="T72" t="str">
        <f>IF(Q72&lt;'Cenario A ranking setor PIB'!$G$16,"N","Y")</f>
        <v>Y</v>
      </c>
    </row>
    <row r="73" spans="1:20" hidden="1" x14ac:dyDescent="0.45">
      <c r="A73" s="293" t="s">
        <v>150</v>
      </c>
      <c r="B73" s="297" t="s">
        <v>0</v>
      </c>
      <c r="C73" s="297" t="s">
        <v>958</v>
      </c>
      <c r="D73" s="311">
        <v>4280.6274469299997</v>
      </c>
      <c r="E73" s="311">
        <v>7169.8593927499996</v>
      </c>
      <c r="F73" s="302">
        <f t="shared" si="6"/>
        <v>0.67495524467846701</v>
      </c>
      <c r="G73" s="311">
        <v>4758.2275911699999</v>
      </c>
      <c r="H73" s="311">
        <v>7169.8593927499996</v>
      </c>
      <c r="I73" s="302">
        <f t="shared" si="7"/>
        <v>0.5068340585589779</v>
      </c>
      <c r="J73" s="311">
        <v>9077.2200399899993</v>
      </c>
      <c r="K73" s="311">
        <v>11003.98563625</v>
      </c>
      <c r="L73" s="311">
        <v>12517.612692999999</v>
      </c>
      <c r="M73" s="312">
        <v>16302.66846123</v>
      </c>
      <c r="N73" t="str">
        <f t="shared" si="8"/>
        <v>PhilippinesManufacture of food products (C10)</v>
      </c>
      <c r="O73" s="11">
        <f>INDEX('Base de dados IHS'!$A$1:$V$676,MATCH($N73,'Base de dados IHS'!$C$1:$C$676,0),MATCH($O$1,'Base de dados IHS'!$A$1:$V$1,0))</f>
        <v>291518.00825125998</v>
      </c>
      <c r="P73" s="11">
        <f>INDEX('Base de dados IHS'!$A$1:$V$676,MATCH($N73,'Base de dados IHS'!$C$1:$C$676,0),MATCH($P$1,'Base de dados IHS'!$A$1:$V$1,0))</f>
        <v>360513.15606205998</v>
      </c>
      <c r="Q73" s="131">
        <f>INDEX('Base de dados IHS'!$A$1:$V$676,MATCH($N73,'Base de dados IHS'!$C$1:$C$676,0),MATCH($Q$1,'Base de dados IHS'!$A$1:$V$1,0))</f>
        <v>1.632224238808902E-2</v>
      </c>
      <c r="R73" s="131">
        <f>INDEX('Base de dados IHS'!$A$1:$V$676,MATCH($N73,'Base de dados IHS'!$C$1:$C$676,0),MATCH($R$1,'Base de dados IHS'!$A$1:$V$1,0))</f>
        <v>1.988792717322015E-2</v>
      </c>
      <c r="S73" s="131">
        <f>INDEX('Base de dados IHS'!$A$1:$V$676,MATCH($N73,'Base de dados IHS'!$C$1:$C$676,0),MATCH($S$1,'Base de dados IHS'!$A$1:$V$1,0))</f>
        <v>3.5656847851311298E-3</v>
      </c>
      <c r="T73" t="str">
        <f>IF(Q73&lt;'Cenario A ranking setor PIB'!$G$16,"N","Y")</f>
        <v>N</v>
      </c>
    </row>
    <row r="74" spans="1:20" x14ac:dyDescent="0.45">
      <c r="A74" s="293" t="s">
        <v>127</v>
      </c>
      <c r="B74" s="297" t="s">
        <v>0</v>
      </c>
      <c r="C74" s="297" t="s">
        <v>958</v>
      </c>
      <c r="D74" s="311">
        <v>6411.5695442400001</v>
      </c>
      <c r="E74" s="311">
        <v>12368.99426369</v>
      </c>
      <c r="F74" s="302">
        <f t="shared" si="6"/>
        <v>0.92916791720710679</v>
      </c>
      <c r="G74" s="311">
        <v>9323.2881293999999</v>
      </c>
      <c r="H74" s="311">
        <v>12368.99426369</v>
      </c>
      <c r="I74" s="302">
        <f t="shared" si="7"/>
        <v>0.32667725077440091</v>
      </c>
      <c r="J74" s="311">
        <v>16283.074836440001</v>
      </c>
      <c r="K74" s="311">
        <v>17586.326678419999</v>
      </c>
      <c r="L74" s="311">
        <v>18525.20997846</v>
      </c>
      <c r="M74" s="312">
        <v>21182.207536630001</v>
      </c>
      <c r="N74" t="str">
        <f t="shared" si="8"/>
        <v>IrelandManufacture of food products (C10)</v>
      </c>
      <c r="O74" s="11">
        <f>INDEX('Base de dados IHS'!$A$1:$V$676,MATCH($N74,'Base de dados IHS'!$C$1:$C$676,0),MATCH($O$1,'Base de dados IHS'!$A$1:$V$1,0))</f>
        <v>308812.05776281998</v>
      </c>
      <c r="P74" s="11">
        <f>INDEX('Base de dados IHS'!$A$1:$V$676,MATCH($N74,'Base de dados IHS'!$C$1:$C$676,0),MATCH($P$1,'Base de dados IHS'!$A$1:$V$1,0))</f>
        <v>483748.84960921999</v>
      </c>
      <c r="Q74" s="131">
        <f>INDEX('Base de dados IHS'!$A$1:$V$676,MATCH($N74,'Base de dados IHS'!$C$1:$C$676,0),MATCH($Q$1,'Base de dados IHS'!$A$1:$V$1,0))</f>
        <v>3.0190816372075272E-2</v>
      </c>
      <c r="R74" s="131">
        <f>INDEX('Base de dados IHS'!$A$1:$V$676,MATCH($N74,'Base de dados IHS'!$C$1:$C$676,0),MATCH($R$1,'Base de dados IHS'!$A$1:$V$1,0))</f>
        <v>2.5569041194995853E-2</v>
      </c>
      <c r="S74" s="131">
        <f>INDEX('Base de dados IHS'!$A$1:$V$676,MATCH($N74,'Base de dados IHS'!$C$1:$C$676,0),MATCH($S$1,'Base de dados IHS'!$A$1:$V$1,0))</f>
        <v>-4.6217751770794187E-3</v>
      </c>
      <c r="T74" t="str">
        <f>IF(Q74&lt;'Cenario A ranking setor PIB'!$G$16,"N","Y")</f>
        <v>Y</v>
      </c>
    </row>
    <row r="75" spans="1:20" x14ac:dyDescent="0.45">
      <c r="A75" s="293" t="s">
        <v>173</v>
      </c>
      <c r="B75" s="297" t="s">
        <v>0</v>
      </c>
      <c r="C75" s="297" t="s">
        <v>958</v>
      </c>
      <c r="D75" s="311">
        <v>1131.2570062499999</v>
      </c>
      <c r="E75" s="311">
        <v>2013.4546069200001</v>
      </c>
      <c r="F75" s="302">
        <f t="shared" si="6"/>
        <v>0.77983835308511718</v>
      </c>
      <c r="G75" s="311">
        <v>2114.2695359099998</v>
      </c>
      <c r="H75" s="311">
        <v>2013.4546069200001</v>
      </c>
      <c r="I75" s="302">
        <f t="shared" si="7"/>
        <v>-4.7683101552427276E-2</v>
      </c>
      <c r="J75" s="311">
        <v>2370.58008634</v>
      </c>
      <c r="K75" s="311">
        <v>2606.31189335</v>
      </c>
      <c r="L75" s="311">
        <v>2788.8096616299999</v>
      </c>
      <c r="M75" s="312">
        <v>3285.5308473300001</v>
      </c>
      <c r="N75" t="str">
        <f t="shared" si="8"/>
        <v>PanamaManufacture of food products (C10)</v>
      </c>
      <c r="O75" s="11">
        <f>INDEX('Base de dados IHS'!$A$1:$V$676,MATCH($N75,'Base de dados IHS'!$C$1:$C$676,0),MATCH($O$1,'Base de dados IHS'!$A$1:$V$1,0))</f>
        <v>58921.61186117</v>
      </c>
      <c r="P75" s="11">
        <f>INDEX('Base de dados IHS'!$A$1:$V$676,MATCH($N75,'Base de dados IHS'!$C$1:$C$676,0),MATCH($P$1,'Base de dados IHS'!$A$1:$V$1,0))</f>
        <v>65983.988595749994</v>
      </c>
      <c r="Q75" s="131">
        <f>INDEX('Base de dados IHS'!$A$1:$V$676,MATCH($N75,'Base de dados IHS'!$C$1:$C$676,0),MATCH($Q$1,'Base de dados IHS'!$A$1:$V$1,0))</f>
        <v>3.5882751152354793E-2</v>
      </c>
      <c r="R75" s="131">
        <f>INDEX('Base de dados IHS'!$A$1:$V$676,MATCH($N75,'Base de dados IHS'!$C$1:$C$676,0),MATCH($R$1,'Base de dados IHS'!$A$1:$V$1,0))</f>
        <v>3.0514290660047884E-2</v>
      </c>
      <c r="S75" s="131">
        <f>INDEX('Base de dados IHS'!$A$1:$V$676,MATCH($N75,'Base de dados IHS'!$C$1:$C$676,0),MATCH($S$1,'Base de dados IHS'!$A$1:$V$1,0))</f>
        <v>-5.368460492306909E-3</v>
      </c>
      <c r="T75" t="str">
        <f>IF(Q75&lt;'Cenario A ranking setor PIB'!$G$16,"N","Y")</f>
        <v>Y</v>
      </c>
    </row>
    <row r="76" spans="1:20" x14ac:dyDescent="0.45">
      <c r="A76" s="293" t="s">
        <v>176</v>
      </c>
      <c r="B76" s="297" t="s">
        <v>0</v>
      </c>
      <c r="C76" s="297" t="s">
        <v>958</v>
      </c>
      <c r="D76" s="311">
        <v>1207.9373615899999</v>
      </c>
      <c r="E76" s="311">
        <v>811.75925665</v>
      </c>
      <c r="F76" s="302">
        <f t="shared" si="6"/>
        <v>-0.32797901409267882</v>
      </c>
      <c r="G76" s="311">
        <v>1433.1694740600001</v>
      </c>
      <c r="H76" s="311">
        <v>811.75925665</v>
      </c>
      <c r="I76" s="302">
        <f t="shared" si="7"/>
        <v>-0.43359158051951685</v>
      </c>
      <c r="J76" s="311">
        <v>888.36473540999998</v>
      </c>
      <c r="K76" s="311">
        <v>962.32030849</v>
      </c>
      <c r="L76" s="311">
        <v>1026.90770823</v>
      </c>
      <c r="M76" s="312">
        <v>1207.74738987</v>
      </c>
      <c r="N76" t="str">
        <f t="shared" si="8"/>
        <v>JordanManufacture of food products (C10)</v>
      </c>
      <c r="O76" s="11">
        <f>INDEX('Base de dados IHS'!$A$1:$V$676,MATCH($N76,'Base de dados IHS'!$C$1:$C$676,0),MATCH($O$1,'Base de dados IHS'!$A$1:$V$1,0))</f>
        <v>41181.394892199998</v>
      </c>
      <c r="P76" s="11">
        <f>INDEX('Base de dados IHS'!$A$1:$V$676,MATCH($N76,'Base de dados IHS'!$C$1:$C$676,0),MATCH($P$1,'Base de dados IHS'!$A$1:$V$1,0))</f>
        <v>44841.419332370002</v>
      </c>
      <c r="Q76" s="131">
        <f>INDEX('Base de dados IHS'!$A$1:$V$676,MATCH($N76,'Base de dados IHS'!$C$1:$C$676,0),MATCH($Q$1,'Base de dados IHS'!$A$1:$V$1,0))</f>
        <v>3.480138246437716E-2</v>
      </c>
      <c r="R76" s="131">
        <f>INDEX('Base de dados IHS'!$A$1:$V$676,MATCH($N76,'Base de dados IHS'!$C$1:$C$676,0),MATCH($R$1,'Base de dados IHS'!$A$1:$V$1,0))</f>
        <v>1.8102889443198544E-2</v>
      </c>
      <c r="S76" s="131">
        <f>INDEX('Base de dados IHS'!$A$1:$V$676,MATCH($N76,'Base de dados IHS'!$C$1:$C$676,0),MATCH($S$1,'Base de dados IHS'!$A$1:$V$1,0))</f>
        <v>-1.6698493021178616E-2</v>
      </c>
      <c r="T76" t="str">
        <f>IF(Q76&lt;'Cenario A ranking setor PIB'!$G$16,"N","Y")</f>
        <v>Y</v>
      </c>
    </row>
  </sheetData>
  <autoFilter ref="A1:T76" xr:uid="{FB366667-00CB-4025-A268-BD3F82D83B2F}">
    <filterColumn colId="19">
      <filters>
        <filter val="Y"/>
      </filters>
    </filterColumn>
    <sortState xmlns:xlrd2="http://schemas.microsoft.com/office/spreadsheetml/2017/richdata2" ref="A2:T76">
      <sortCondition descending="1" ref="S1:S7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84F3-76DF-43CC-8D91-4BEAC8F82E07}">
  <sheetPr filterMode="1">
    <tabColor theme="4" tint="-0.249977111117893"/>
  </sheetPr>
  <dimension ref="A1:T76"/>
  <sheetViews>
    <sheetView zoomScale="94" workbookViewId="0"/>
  </sheetViews>
  <sheetFormatPr defaultColWidth="8.86328125" defaultRowHeight="14.25" x14ac:dyDescent="0.45"/>
  <cols>
    <col min="4" max="13" width="11.53125" customWidth="1"/>
    <col min="15" max="16" width="10.46484375" bestFit="1" customWidth="1"/>
    <col min="17" max="17" width="9" bestFit="1" customWidth="1"/>
    <col min="18" max="18" width="15.6640625" customWidth="1"/>
    <col min="19" max="19" width="17.6640625" customWidth="1"/>
  </cols>
  <sheetData>
    <row r="1" spans="1:20" x14ac:dyDescent="0.4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933</v>
      </c>
      <c r="O1" s="334" t="s">
        <v>928</v>
      </c>
      <c r="P1" s="334" t="s">
        <v>929</v>
      </c>
      <c r="Q1" s="334" t="s">
        <v>930</v>
      </c>
      <c r="R1" s="334" t="s">
        <v>931</v>
      </c>
      <c r="S1" s="334" t="s">
        <v>932</v>
      </c>
      <c r="T1" s="334" t="s">
        <v>1057</v>
      </c>
    </row>
    <row r="2" spans="1:20" x14ac:dyDescent="0.45">
      <c r="A2" s="293" t="s">
        <v>153</v>
      </c>
      <c r="B2" s="297" t="s">
        <v>1</v>
      </c>
      <c r="C2" s="297" t="s">
        <v>958</v>
      </c>
      <c r="D2" s="311">
        <v>4118.2880794100001</v>
      </c>
      <c r="E2" s="311">
        <v>5071.9517757699996</v>
      </c>
      <c r="F2" s="302">
        <f t="shared" ref="F2:F33" si="0">H2/D2-1</f>
        <v>0.23156799086688085</v>
      </c>
      <c r="G2" s="311">
        <v>4217.3410426800001</v>
      </c>
      <c r="H2" s="311">
        <v>5071.9517757699996</v>
      </c>
      <c r="I2" s="302">
        <f t="shared" ref="I2:I33" si="1">H2/G2-1</f>
        <v>0.20264207339203444</v>
      </c>
      <c r="J2" s="311">
        <v>5946.6393511200004</v>
      </c>
      <c r="K2" s="311">
        <v>6510.0362690299999</v>
      </c>
      <c r="L2" s="311">
        <v>6779.5426810700001</v>
      </c>
      <c r="M2" s="312">
        <v>7399.9016081</v>
      </c>
      <c r="N2" t="str">
        <f t="shared" ref="N2:N33" si="2">A2&amp;B2</f>
        <v>OmanManufacture of chemicals and chemical products (C20)</v>
      </c>
      <c r="O2" s="11">
        <f>INDEX('Base de dados IHS'!$A$1:$V$676,MATCH($N2,'Base de dados IHS'!$C$1:$C$676,0),MATCH($O$1,'Base de dados IHS'!$A$1:$V$1,0))</f>
        <v>83456.391863790006</v>
      </c>
      <c r="P2" s="11">
        <f>INDEX('Base de dados IHS'!$A$1:$V$676,MATCH($N2,'Base de dados IHS'!$C$1:$C$676,0),MATCH($P$1,'Base de dados IHS'!$A$1:$V$1,0))</f>
        <v>87715.792114070005</v>
      </c>
      <c r="Q2" s="131">
        <f>INDEX('Base de dados IHS'!$A$1:$V$676,MATCH($N2,'Base de dados IHS'!$C$1:$C$676,0),MATCH($Q$1,'Base de dados IHS'!$A$1:$V$1,0))</f>
        <v>5.0533469618039124E-2</v>
      </c>
      <c r="R2" s="131">
        <f>INDEX('Base de dados IHS'!$A$1:$V$676,MATCH($N2,'Base de dados IHS'!$C$1:$C$676,0),MATCH($R$1,'Base de dados IHS'!$A$1:$V$1,0))</f>
        <v>5.7822561405752107E-2</v>
      </c>
      <c r="S2" s="131">
        <f>INDEX('Base de dados IHS'!$A$1:$V$676,MATCH($N2,'Base de dados IHS'!$C$1:$C$676,0),MATCH($S$1,'Base de dados IHS'!$A$1:$V$1,0))</f>
        <v>7.2890917877129827E-3</v>
      </c>
      <c r="T2" t="str">
        <f>IF(Q2&lt;'Cenario A ranking setor PIB'!$G$30,"N","Y")</f>
        <v>Y</v>
      </c>
    </row>
    <row r="3" spans="1:20" x14ac:dyDescent="0.45">
      <c r="A3" s="293" t="s">
        <v>107</v>
      </c>
      <c r="B3" s="297" t="s">
        <v>1</v>
      </c>
      <c r="C3" s="297" t="s">
        <v>958</v>
      </c>
      <c r="D3" s="311">
        <v>6614.6485251399999</v>
      </c>
      <c r="E3" s="311">
        <v>8511.4955193299993</v>
      </c>
      <c r="F3" s="302">
        <f t="shared" si="0"/>
        <v>0.28676459330843307</v>
      </c>
      <c r="G3" s="311">
        <v>7043.6131135200003</v>
      </c>
      <c r="H3" s="311">
        <v>8511.4955193299993</v>
      </c>
      <c r="I3" s="302">
        <f t="shared" si="1"/>
        <v>0.20839906765924487</v>
      </c>
      <c r="J3" s="311">
        <v>10159.543469259999</v>
      </c>
      <c r="K3" s="311">
        <v>11465.076995400001</v>
      </c>
      <c r="L3" s="311">
        <v>12120.387760420001</v>
      </c>
      <c r="M3" s="312">
        <v>13786.077376159999</v>
      </c>
      <c r="N3" t="str">
        <f t="shared" si="2"/>
        <v>IranManufacture of chemicals and chemical products (C20)</v>
      </c>
      <c r="O3" s="11">
        <f>INDEX('Base de dados IHS'!$A$1:$V$676,MATCH($N3,'Base de dados IHS'!$C$1:$C$676,0),MATCH($O$1,'Base de dados IHS'!$A$1:$V$1,0))</f>
        <v>195024.47923529</v>
      </c>
      <c r="P3" s="11">
        <f>INDEX('Base de dados IHS'!$A$1:$V$676,MATCH($N3,'Base de dados IHS'!$C$1:$C$676,0),MATCH($P$1,'Base de dados IHS'!$A$1:$V$1,0))</f>
        <v>224406.94908081999</v>
      </c>
      <c r="Q3" s="131">
        <f>INDEX('Base de dados IHS'!$A$1:$V$676,MATCH($N3,'Base de dados IHS'!$C$1:$C$676,0),MATCH($Q$1,'Base de dados IHS'!$A$1:$V$1,0))</f>
        <v>3.6116559014225773E-2</v>
      </c>
      <c r="R3" s="131">
        <f>INDEX('Base de dados IHS'!$A$1:$V$676,MATCH($N3,'Base de dados IHS'!$C$1:$C$676,0),MATCH($R$1,'Base de dados IHS'!$A$1:$V$1,0))</f>
        <v>3.7928841126326218E-2</v>
      </c>
      <c r="S3" s="131">
        <f>INDEX('Base de dados IHS'!$A$1:$V$676,MATCH($N3,'Base de dados IHS'!$C$1:$C$676,0),MATCH($S$1,'Base de dados IHS'!$A$1:$V$1,0))</f>
        <v>1.8122821121004454E-3</v>
      </c>
      <c r="T3" t="str">
        <f>IF(Q3&lt;'Cenario A ranking setor PIB'!$G$30,"N","Y")</f>
        <v>Y</v>
      </c>
    </row>
    <row r="4" spans="1:20" x14ac:dyDescent="0.45">
      <c r="A4" s="293" t="s">
        <v>168</v>
      </c>
      <c r="B4" s="297" t="s">
        <v>1</v>
      </c>
      <c r="C4" s="297" t="s">
        <v>958</v>
      </c>
      <c r="D4" s="311">
        <v>846.91698799999995</v>
      </c>
      <c r="E4" s="311">
        <v>859.62347523000005</v>
      </c>
      <c r="F4" s="302">
        <f t="shared" si="0"/>
        <v>1.500322630203299E-2</v>
      </c>
      <c r="G4" s="311">
        <v>767.40782716000001</v>
      </c>
      <c r="H4" s="311">
        <v>859.62347523000005</v>
      </c>
      <c r="I4" s="302">
        <f t="shared" si="1"/>
        <v>0.1201651127422938</v>
      </c>
      <c r="J4" s="311">
        <v>902.03670688</v>
      </c>
      <c r="K4" s="311">
        <v>990.88859088000004</v>
      </c>
      <c r="L4" s="311">
        <v>1061.7607398299999</v>
      </c>
      <c r="M4" s="312">
        <v>1239.40113393</v>
      </c>
      <c r="N4" t="str">
        <f t="shared" si="2"/>
        <v>TunisiaManufacture of chemicals and chemical products (C20)</v>
      </c>
      <c r="O4" s="11">
        <f>INDEX('Base de dados IHS'!$A$1:$V$676,MATCH($N4,'Base de dados IHS'!$C$1:$C$676,0),MATCH($O$1,'Base de dados IHS'!$A$1:$V$1,0))</f>
        <v>38884.65391288</v>
      </c>
      <c r="P4" s="11">
        <f>INDEX('Base de dados IHS'!$A$1:$V$676,MATCH($N4,'Base de dados IHS'!$C$1:$C$676,0),MATCH($P$1,'Base de dados IHS'!$A$1:$V$1,0))</f>
        <v>40072.692608359997</v>
      </c>
      <c r="Q4" s="131">
        <f>INDEX('Base de dados IHS'!$A$1:$V$676,MATCH($N4,'Base de dados IHS'!$C$1:$C$676,0),MATCH($Q$1,'Base de dados IHS'!$A$1:$V$1,0))</f>
        <v>1.9735493310017782E-2</v>
      </c>
      <c r="R4" s="131">
        <f>INDEX('Base de dados IHS'!$A$1:$V$676,MATCH($N4,'Base de dados IHS'!$C$1:$C$676,0),MATCH($R$1,'Base de dados IHS'!$A$1:$V$1,0))</f>
        <v>2.1451602557165442E-2</v>
      </c>
      <c r="S4" s="131">
        <f>INDEX('Base de dados IHS'!$A$1:$V$676,MATCH($N4,'Base de dados IHS'!$C$1:$C$676,0),MATCH($S$1,'Base de dados IHS'!$A$1:$V$1,0))</f>
        <v>1.7161092471476604E-3</v>
      </c>
      <c r="T4" t="str">
        <f>IF(Q4&lt;'Cenario A ranking setor PIB'!$G$30,"N","Y")</f>
        <v>Y</v>
      </c>
    </row>
    <row r="5" spans="1:20" x14ac:dyDescent="0.45">
      <c r="A5" s="294" t="s">
        <v>18</v>
      </c>
      <c r="B5" s="299" t="s">
        <v>1</v>
      </c>
      <c r="C5" s="297" t="s">
        <v>958</v>
      </c>
      <c r="D5" s="313">
        <v>28997.54011306</v>
      </c>
      <c r="E5" s="313">
        <v>26985.949431370002</v>
      </c>
      <c r="F5" s="304">
        <f t="shared" si="0"/>
        <v>-6.9371080231181881E-2</v>
      </c>
      <c r="G5" s="313">
        <v>25914.750597689999</v>
      </c>
      <c r="H5" s="313">
        <v>26985.949431370002</v>
      </c>
      <c r="I5" s="304">
        <f t="shared" si="1"/>
        <v>4.1335486893533391E-2</v>
      </c>
      <c r="J5" s="313">
        <v>27459.82358339</v>
      </c>
      <c r="K5" s="313">
        <v>30570.485063249998</v>
      </c>
      <c r="L5" s="313">
        <v>33008.315550140003</v>
      </c>
      <c r="M5" s="314">
        <v>38661.454599390003</v>
      </c>
      <c r="N5" t="str">
        <f t="shared" si="2"/>
        <v>BrazilManufacture of chemicals and chemical products (C20)</v>
      </c>
      <c r="O5" s="11">
        <f>INDEX('Base de dados IHS'!$A$1:$V$676,MATCH($N5,'Base de dados IHS'!$C$1:$C$676,0),MATCH($O$1,'Base de dados IHS'!$A$1:$V$1,0))</f>
        <v>1855726.8356911</v>
      </c>
      <c r="P5" s="11">
        <f>INDEX('Base de dados IHS'!$A$1:$V$676,MATCH($N5,'Base de dados IHS'!$C$1:$C$676,0),MATCH($P$1,'Base de dados IHS'!$A$1:$V$1,0))</f>
        <v>1898091.4722179</v>
      </c>
      <c r="Q5" s="131">
        <f>INDEX('Base de dados IHS'!$A$1:$V$676,MATCH($N5,'Base de dados IHS'!$C$1:$C$676,0),MATCH($Q$1,'Base de dados IHS'!$A$1:$V$1,0))</f>
        <v>1.3964744217345419E-2</v>
      </c>
      <c r="R5" s="131">
        <f>INDEX('Base de dados IHS'!$A$1:$V$676,MATCH($N5,'Base de dados IHS'!$C$1:$C$676,0),MATCH($R$1,'Base de dados IHS'!$A$1:$V$1,0))</f>
        <v>1.4217412504275783E-2</v>
      </c>
      <c r="S5" s="131">
        <f>INDEX('Base de dados IHS'!$A$1:$V$676,MATCH($N5,'Base de dados IHS'!$C$1:$C$676,0),MATCH($S$1,'Base de dados IHS'!$A$1:$V$1,0))</f>
        <v>2.5266828693036418E-4</v>
      </c>
      <c r="T5" t="str">
        <f>IF(Q5&lt;'Cenario A ranking setor PIB'!$G$30,"N","Y")</f>
        <v>Y</v>
      </c>
    </row>
    <row r="6" spans="1:20" x14ac:dyDescent="0.45">
      <c r="A6" s="293" t="s">
        <v>144</v>
      </c>
      <c r="B6" s="297" t="s">
        <v>1</v>
      </c>
      <c r="C6" s="297" t="s">
        <v>958</v>
      </c>
      <c r="D6" s="311">
        <v>4511.8920486200004</v>
      </c>
      <c r="E6" s="311">
        <v>6897.0323465900001</v>
      </c>
      <c r="F6" s="302">
        <f t="shared" si="0"/>
        <v>0.52863416772117033</v>
      </c>
      <c r="G6" s="311">
        <v>5766.91945338</v>
      </c>
      <c r="H6" s="311">
        <v>6897.0323465900001</v>
      </c>
      <c r="I6" s="302">
        <f t="shared" si="1"/>
        <v>0.19596474380228068</v>
      </c>
      <c r="J6" s="311">
        <v>8766.8707430499999</v>
      </c>
      <c r="K6" s="311">
        <v>10536.094323269999</v>
      </c>
      <c r="L6" s="311">
        <v>11900.49416183</v>
      </c>
      <c r="M6" s="312">
        <v>15224.980960860001</v>
      </c>
      <c r="N6" t="str">
        <f t="shared" si="2"/>
        <v>MalaysiaManufacture of chemicals and chemical products (C20)</v>
      </c>
      <c r="O6" s="11">
        <f>INDEX('Base de dados IHS'!$A$1:$V$676,MATCH($N6,'Base de dados IHS'!$C$1:$C$676,0),MATCH($O$1,'Base de dados IHS'!$A$1:$V$1,0))</f>
        <v>301830.41438700003</v>
      </c>
      <c r="P6" s="11">
        <f>INDEX('Base de dados IHS'!$A$1:$V$676,MATCH($N6,'Base de dados IHS'!$C$1:$C$676,0),MATCH($P$1,'Base de dados IHS'!$A$1:$V$1,0))</f>
        <v>356559.39228144003</v>
      </c>
      <c r="Q6" s="131">
        <f>INDEX('Base de dados IHS'!$A$1:$V$676,MATCH($N6,'Base de dados IHS'!$C$1:$C$676,0),MATCH($Q$1,'Base de dados IHS'!$A$1:$V$1,0))</f>
        <v>1.9106488870885584E-2</v>
      </c>
      <c r="R6" s="131">
        <f>INDEX('Base de dados IHS'!$A$1:$V$676,MATCH($N6,'Base de dados IHS'!$C$1:$C$676,0),MATCH($R$1,'Base de dados IHS'!$A$1:$V$1,0))</f>
        <v>1.9343291737344066E-2</v>
      </c>
      <c r="S6" s="131">
        <f>INDEX('Base de dados IHS'!$A$1:$V$676,MATCH($N6,'Base de dados IHS'!$C$1:$C$676,0),MATCH($S$1,'Base de dados IHS'!$A$1:$V$1,0))</f>
        <v>2.3680286645848259E-4</v>
      </c>
      <c r="T6" t="str">
        <f>IF(Q6&lt;'Cenario A ranking setor PIB'!$G$30,"N","Y")</f>
        <v>Y</v>
      </c>
    </row>
    <row r="7" spans="1:20" x14ac:dyDescent="0.45">
      <c r="A7" s="293" t="s">
        <v>105</v>
      </c>
      <c r="B7" s="297" t="s">
        <v>1</v>
      </c>
      <c r="C7" s="297" t="s">
        <v>958</v>
      </c>
      <c r="D7" s="311">
        <v>16873.551833099998</v>
      </c>
      <c r="E7" s="311">
        <v>22317.157311430001</v>
      </c>
      <c r="F7" s="302">
        <f t="shared" si="0"/>
        <v>0.32261171401100963</v>
      </c>
      <c r="G7" s="311">
        <v>21080.963782160001</v>
      </c>
      <c r="H7" s="311">
        <v>22317.157311430001</v>
      </c>
      <c r="I7" s="302">
        <f t="shared" si="1"/>
        <v>5.8640275750397208E-2</v>
      </c>
      <c r="J7" s="311">
        <v>26253.853507430002</v>
      </c>
      <c r="K7" s="311">
        <v>29078.160586739999</v>
      </c>
      <c r="L7" s="311">
        <v>32455.647976730001</v>
      </c>
      <c r="M7" s="312">
        <v>39051.142913969998</v>
      </c>
      <c r="N7" t="str">
        <f t="shared" si="2"/>
        <v>Saudi ArabiaManufacture of chemicals and chemical products (C20)</v>
      </c>
      <c r="O7" s="11">
        <f>INDEX('Base de dados IHS'!$A$1:$V$676,MATCH($N7,'Base de dados IHS'!$C$1:$C$676,0),MATCH($O$1,'Base de dados IHS'!$A$1:$V$1,0))</f>
        <v>791157.39281293005</v>
      </c>
      <c r="P7" s="11">
        <f>INDEX('Base de dados IHS'!$A$1:$V$676,MATCH($N7,'Base de dados IHS'!$C$1:$C$676,0),MATCH($P$1,'Base de dados IHS'!$A$1:$V$1,0))</f>
        <v>836861.61444072996</v>
      </c>
      <c r="Q7" s="131">
        <f>INDEX('Base de dados IHS'!$A$1:$V$676,MATCH($N7,'Base de dados IHS'!$C$1:$C$676,0),MATCH($Q$1,'Base de dados IHS'!$A$1:$V$1,0))</f>
        <v>2.6645726847356423E-2</v>
      </c>
      <c r="R7" s="131">
        <f>INDEX('Base de dados IHS'!$A$1:$V$676,MATCH($N7,'Base de dados IHS'!$C$1:$C$676,0),MATCH($R$1,'Base de dados IHS'!$A$1:$V$1,0))</f>
        <v>2.6667679490048585E-2</v>
      </c>
      <c r="S7" s="131">
        <f>INDEX('Base de dados IHS'!$A$1:$V$676,MATCH($N7,'Base de dados IHS'!$C$1:$C$676,0),MATCH($S$1,'Base de dados IHS'!$A$1:$V$1,0))</f>
        <v>2.1952642692162072E-5</v>
      </c>
      <c r="T7" t="str">
        <f>IF(Q7&lt;'Cenario A ranking setor PIB'!$G$30,"N","Y")</f>
        <v>Y</v>
      </c>
    </row>
    <row r="8" spans="1:20" x14ac:dyDescent="0.45">
      <c r="A8" s="293" t="s">
        <v>104</v>
      </c>
      <c r="B8" s="297" t="s">
        <v>1</v>
      </c>
      <c r="C8" s="297" t="s">
        <v>958</v>
      </c>
      <c r="D8" s="311">
        <v>29429.102776200001</v>
      </c>
      <c r="E8" s="311">
        <v>34481.914893939997</v>
      </c>
      <c r="F8" s="302">
        <f t="shared" si="0"/>
        <v>0.17169439911794804</v>
      </c>
      <c r="G8" s="311">
        <v>30385.06636683</v>
      </c>
      <c r="H8" s="311">
        <v>34481.914893939997</v>
      </c>
      <c r="I8" s="302">
        <f t="shared" si="1"/>
        <v>0.13483098827726581</v>
      </c>
      <c r="J8" s="311">
        <v>31753.95623122</v>
      </c>
      <c r="K8" s="311">
        <v>33964.029205569997</v>
      </c>
      <c r="L8" s="311">
        <v>35651.71295021</v>
      </c>
      <c r="M8" s="312">
        <v>39694.222476329996</v>
      </c>
      <c r="N8" t="str">
        <f t="shared" si="2"/>
        <v>South KoreaManufacture of chemicals and chemical products (C20)</v>
      </c>
      <c r="O8" s="11">
        <f>INDEX('Base de dados IHS'!$A$1:$V$676,MATCH($N8,'Base de dados IHS'!$C$1:$C$676,0),MATCH($O$1,'Base de dados IHS'!$A$1:$V$1,0))</f>
        <v>1478297.0807395</v>
      </c>
      <c r="P8" s="11">
        <f>INDEX('Base de dados IHS'!$A$1:$V$676,MATCH($N8,'Base de dados IHS'!$C$1:$C$676,0),MATCH($P$1,'Base de dados IHS'!$A$1:$V$1,0))</f>
        <v>1710728.7967964001</v>
      </c>
      <c r="Q8" s="131">
        <f>INDEX('Base de dados IHS'!$A$1:$V$676,MATCH($N8,'Base de dados IHS'!$C$1:$C$676,0),MATCH($Q$1,'Base de dados IHS'!$A$1:$V$1,0))</f>
        <v>2.0554100229725304E-2</v>
      </c>
      <c r="R8" s="131">
        <f>INDEX('Base de dados IHS'!$A$1:$V$676,MATCH($N8,'Base de dados IHS'!$C$1:$C$676,0),MATCH($R$1,'Base de dados IHS'!$A$1:$V$1,0))</f>
        <v>2.0156271969299065E-2</v>
      </c>
      <c r="S8" s="131">
        <f>INDEX('Base de dados IHS'!$A$1:$V$676,MATCH($N8,'Base de dados IHS'!$C$1:$C$676,0),MATCH($S$1,'Base de dados IHS'!$A$1:$V$1,0))</f>
        <v>-3.9782826042623898E-4</v>
      </c>
      <c r="T8" t="str">
        <f>IF(Q8&lt;'Cenario A ranking setor PIB'!$G$30,"N","Y")</f>
        <v>Y</v>
      </c>
    </row>
    <row r="9" spans="1:20" x14ac:dyDescent="0.45">
      <c r="A9" s="293" t="s">
        <v>121</v>
      </c>
      <c r="B9" s="297" t="s">
        <v>1</v>
      </c>
      <c r="C9" s="297" t="s">
        <v>958</v>
      </c>
      <c r="D9" s="311">
        <v>17732.749547169999</v>
      </c>
      <c r="E9" s="311">
        <v>8286.7942366000007</v>
      </c>
      <c r="F9" s="302">
        <f t="shared" si="0"/>
        <v>-0.53268418896027858</v>
      </c>
      <c r="G9" s="311">
        <v>7306.4393696999996</v>
      </c>
      <c r="H9" s="311">
        <v>8286.7942366000007</v>
      </c>
      <c r="I9" s="302">
        <f t="shared" si="1"/>
        <v>0.13417682913589335</v>
      </c>
      <c r="J9" s="311">
        <v>8523.5860089899998</v>
      </c>
      <c r="K9" s="311">
        <v>8924.9337666699994</v>
      </c>
      <c r="L9" s="311">
        <v>9225.5958836000009</v>
      </c>
      <c r="M9" s="312">
        <v>9767.0409427499999</v>
      </c>
      <c r="N9" t="str">
        <f t="shared" si="2"/>
        <v>SingaporeManufacture of chemicals and chemical products (C20)</v>
      </c>
      <c r="O9" s="11">
        <f>INDEX('Base de dados IHS'!$A$1:$V$676,MATCH($N9,'Base de dados IHS'!$C$1:$C$676,0),MATCH($O$1,'Base de dados IHS'!$A$1:$V$1,0))</f>
        <v>331298.98374970001</v>
      </c>
      <c r="P9" s="11">
        <f>INDEX('Base de dados IHS'!$A$1:$V$676,MATCH($N9,'Base de dados IHS'!$C$1:$C$676,0),MATCH($P$1,'Base de dados IHS'!$A$1:$V$1,0))</f>
        <v>394237.177708</v>
      </c>
      <c r="Q9" s="131">
        <f>INDEX('Base de dados IHS'!$A$1:$V$676,MATCH($N9,'Base de dados IHS'!$C$1:$C$676,0),MATCH($Q$1,'Base de dados IHS'!$A$1:$V$1,0))</f>
        <v>2.2053914222749604E-2</v>
      </c>
      <c r="R9" s="131">
        <f>INDEX('Base de dados IHS'!$A$1:$V$676,MATCH($N9,'Base de dados IHS'!$C$1:$C$676,0),MATCH($R$1,'Base de dados IHS'!$A$1:$V$1,0))</f>
        <v>2.1019819299583631E-2</v>
      </c>
      <c r="S9" s="131">
        <f>INDEX('Base de dados IHS'!$A$1:$V$676,MATCH($N9,'Base de dados IHS'!$C$1:$C$676,0),MATCH($S$1,'Base de dados IHS'!$A$1:$V$1,0))</f>
        <v>-1.0340949231659735E-3</v>
      </c>
      <c r="T9" t="str">
        <f>IF(Q9&lt;'Cenario A ranking setor PIB'!$G$30,"N","Y")</f>
        <v>Y</v>
      </c>
    </row>
    <row r="10" spans="1:20" x14ac:dyDescent="0.45">
      <c r="A10" s="293" t="s">
        <v>143</v>
      </c>
      <c r="B10" s="297" t="s">
        <v>1</v>
      </c>
      <c r="C10" s="297" t="s">
        <v>958</v>
      </c>
      <c r="D10" s="311">
        <v>6492.7977059499999</v>
      </c>
      <c r="E10" s="311">
        <v>8558.4977014899996</v>
      </c>
      <c r="F10" s="302">
        <f t="shared" si="0"/>
        <v>0.31815252670616734</v>
      </c>
      <c r="G10" s="311">
        <v>8323.6275743599999</v>
      </c>
      <c r="H10" s="311">
        <v>8558.4977014899996</v>
      </c>
      <c r="I10" s="302">
        <f t="shared" si="1"/>
        <v>2.821727966944243E-2</v>
      </c>
      <c r="J10" s="311">
        <v>9965.6223879900008</v>
      </c>
      <c r="K10" s="311">
        <v>11073.95831659</v>
      </c>
      <c r="L10" s="311">
        <v>11926.79494862</v>
      </c>
      <c r="M10" s="312">
        <v>13986.343527589999</v>
      </c>
      <c r="N10" t="str">
        <f t="shared" si="2"/>
        <v>United Arab EmiratesManufacture of chemicals and chemical products (C20)</v>
      </c>
      <c r="O10" s="11">
        <f>INDEX('Base de dados IHS'!$A$1:$V$676,MATCH($N10,'Base de dados IHS'!$C$1:$C$676,0),MATCH($O$1,'Base de dados IHS'!$A$1:$V$1,0))</f>
        <v>383753.13090967003</v>
      </c>
      <c r="P10" s="11">
        <f>INDEX('Base de dados IHS'!$A$1:$V$676,MATCH($N10,'Base de dados IHS'!$C$1:$C$676,0),MATCH($P$1,'Base de dados IHS'!$A$1:$V$1,0))</f>
        <v>414599.77007557999</v>
      </c>
      <c r="Q10" s="131">
        <f>INDEX('Base de dados IHS'!$A$1:$V$676,MATCH($N10,'Base de dados IHS'!$C$1:$C$676,0),MATCH($Q$1,'Base de dados IHS'!$A$1:$V$1,0))</f>
        <v>2.1690057758302073E-2</v>
      </c>
      <c r="R10" s="131">
        <f>INDEX('Base de dados IHS'!$A$1:$V$676,MATCH($N10,'Base de dados IHS'!$C$1:$C$676,0),MATCH($R$1,'Base de dados IHS'!$A$1:$V$1,0))</f>
        <v>2.0642794133556363E-2</v>
      </c>
      <c r="S10" s="131">
        <f>INDEX('Base de dados IHS'!$A$1:$V$676,MATCH($N10,'Base de dados IHS'!$C$1:$C$676,0),MATCH($S$1,'Base de dados IHS'!$A$1:$V$1,0))</f>
        <v>-1.0472636247457097E-3</v>
      </c>
      <c r="T10" t="str">
        <f>IF(Q10&lt;'Cenario A ranking setor PIB'!$G$30,"N","Y")</f>
        <v>Y</v>
      </c>
    </row>
    <row r="11" spans="1:20" x14ac:dyDescent="0.45">
      <c r="A11" s="293" t="s">
        <v>118</v>
      </c>
      <c r="B11" s="297" t="s">
        <v>1</v>
      </c>
      <c r="C11" s="297" t="s">
        <v>958</v>
      </c>
      <c r="D11" s="311">
        <v>9217.2204108099995</v>
      </c>
      <c r="E11" s="311">
        <v>10126.374203609999</v>
      </c>
      <c r="F11" s="302">
        <f t="shared" si="0"/>
        <v>9.8636438348999489E-2</v>
      </c>
      <c r="G11" s="311">
        <v>9886.6669031700003</v>
      </c>
      <c r="H11" s="311">
        <v>10126.374203609999</v>
      </c>
      <c r="I11" s="302">
        <f t="shared" si="1"/>
        <v>2.4245511939229969E-2</v>
      </c>
      <c r="J11" s="311">
        <v>7975.4629327800003</v>
      </c>
      <c r="K11" s="311">
        <v>8190.2608118500002</v>
      </c>
      <c r="L11" s="311">
        <v>8468.0782667999993</v>
      </c>
      <c r="M11" s="312">
        <v>9109.7923579100006</v>
      </c>
      <c r="N11" t="str">
        <f t="shared" si="2"/>
        <v>BelgiumManufacture of chemicals and chemical products (C20)</v>
      </c>
      <c r="O11" s="11">
        <f>INDEX('Base de dados IHS'!$A$1:$V$676,MATCH($N11,'Base de dados IHS'!$C$1:$C$676,0),MATCH($O$1,'Base de dados IHS'!$A$1:$V$1,0))</f>
        <v>500331.50984029</v>
      </c>
      <c r="P11" s="11">
        <f>INDEX('Base de dados IHS'!$A$1:$V$676,MATCH($N11,'Base de dados IHS'!$C$1:$C$676,0),MATCH($P$1,'Base de dados IHS'!$A$1:$V$1,0))</f>
        <v>542439.84157398995</v>
      </c>
      <c r="Q11" s="131">
        <f>INDEX('Base de dados IHS'!$A$1:$V$676,MATCH($N11,'Base de dados IHS'!$C$1:$C$676,0),MATCH($Q$1,'Base de dados IHS'!$A$1:$V$1,0))</f>
        <v>1.9760232383376989E-2</v>
      </c>
      <c r="R11" s="131">
        <f>INDEX('Base de dados IHS'!$A$1:$V$676,MATCH($N11,'Base de dados IHS'!$C$1:$C$676,0),MATCH($R$1,'Base de dados IHS'!$A$1:$V$1,0))</f>
        <v>1.8668197701382783E-2</v>
      </c>
      <c r="S11" s="131">
        <f>INDEX('Base de dados IHS'!$A$1:$V$676,MATCH($N11,'Base de dados IHS'!$C$1:$C$676,0),MATCH($S$1,'Base de dados IHS'!$A$1:$V$1,0))</f>
        <v>-1.0920346819942063E-3</v>
      </c>
      <c r="T11" t="str">
        <f>IF(Q11&lt;'Cenario A ranking setor PIB'!$G$30,"N","Y")</f>
        <v>Y</v>
      </c>
    </row>
    <row r="12" spans="1:20" x14ac:dyDescent="0.45">
      <c r="A12" s="293" t="s">
        <v>907</v>
      </c>
      <c r="B12" s="297" t="s">
        <v>1</v>
      </c>
      <c r="C12" s="297" t="s">
        <v>958</v>
      </c>
      <c r="D12" s="311">
        <v>176784.70289193999</v>
      </c>
      <c r="E12" s="311">
        <v>336023.08165576</v>
      </c>
      <c r="F12" s="302">
        <f t="shared" si="0"/>
        <v>0.90074749771282425</v>
      </c>
      <c r="G12" s="311">
        <v>248519.48457383999</v>
      </c>
      <c r="H12" s="311">
        <v>336023.08165576</v>
      </c>
      <c r="I12" s="302">
        <f t="shared" si="1"/>
        <v>0.35209954355076323</v>
      </c>
      <c r="J12" s="311">
        <v>437735.98305426002</v>
      </c>
      <c r="K12" s="311">
        <v>519469.81999223999</v>
      </c>
      <c r="L12" s="311">
        <v>581108.06145745004</v>
      </c>
      <c r="M12" s="312">
        <v>729891.89074115001</v>
      </c>
      <c r="N12" t="str">
        <f t="shared" si="2"/>
        <v>ChinaManufacture of chemicals and chemical products (C20)</v>
      </c>
      <c r="O12" s="11">
        <f>INDEX('Base de dados IHS'!$A$1:$V$676,MATCH($N12,'Base de dados IHS'!$C$1:$C$676,0),MATCH($O$1,'Base de dados IHS'!$A$1:$V$1,0))</f>
        <v>11048064.947659001</v>
      </c>
      <c r="P12" s="11">
        <f>INDEX('Base de dados IHS'!$A$1:$V$676,MATCH($N12,'Base de dados IHS'!$C$1:$C$676,0),MATCH($P$1,'Base de dados IHS'!$A$1:$V$1,0))</f>
        <v>15827750.501527</v>
      </c>
      <c r="Q12" s="131">
        <f>INDEX('Base de dados IHS'!$A$1:$V$676,MATCH($N12,'Base de dados IHS'!$C$1:$C$676,0),MATCH($Q$1,'Base de dados IHS'!$A$1:$V$1,0))</f>
        <v>2.2494390262115478E-2</v>
      </c>
      <c r="R12" s="131">
        <f>INDEX('Base de dados IHS'!$A$1:$V$676,MATCH($N12,'Base de dados IHS'!$C$1:$C$676,0),MATCH($R$1,'Base de dados IHS'!$A$1:$V$1,0))</f>
        <v>2.1229996114946453E-2</v>
      </c>
      <c r="S12" s="131">
        <f>INDEX('Base de dados IHS'!$A$1:$V$676,MATCH($N12,'Base de dados IHS'!$C$1:$C$676,0),MATCH($S$1,'Base de dados IHS'!$A$1:$V$1,0))</f>
        <v>-1.2643941471690255E-3</v>
      </c>
      <c r="T12" t="str">
        <f>IF(Q12&lt;'Cenario A ranking setor PIB'!$G$30,"N","Y")</f>
        <v>Y</v>
      </c>
    </row>
    <row r="13" spans="1:20" x14ac:dyDescent="0.45">
      <c r="A13" s="293" t="s">
        <v>146</v>
      </c>
      <c r="B13" s="297" t="s">
        <v>1</v>
      </c>
      <c r="C13" s="297" t="s">
        <v>958</v>
      </c>
      <c r="D13" s="311">
        <v>4353.6711039299998</v>
      </c>
      <c r="E13" s="311">
        <v>4426.2582915000003</v>
      </c>
      <c r="F13" s="302">
        <f t="shared" si="0"/>
        <v>1.6672639213485052E-2</v>
      </c>
      <c r="G13" s="311">
        <v>3989.40709079</v>
      </c>
      <c r="H13" s="311">
        <v>4426.2582915000003</v>
      </c>
      <c r="I13" s="302">
        <f t="shared" si="1"/>
        <v>0.10950278845157735</v>
      </c>
      <c r="J13" s="311">
        <v>4689.8213881800002</v>
      </c>
      <c r="K13" s="311">
        <v>5412.7406302999998</v>
      </c>
      <c r="L13" s="311">
        <v>5887.9448160800002</v>
      </c>
      <c r="M13" s="312">
        <v>7188.0806340199997</v>
      </c>
      <c r="N13" t="str">
        <f t="shared" si="2"/>
        <v>EgyptManufacture of chemicals and chemical products (C20)</v>
      </c>
      <c r="O13" s="11">
        <f>INDEX('Base de dados IHS'!$A$1:$V$676,MATCH($N13,'Base de dados IHS'!$C$1:$C$676,0),MATCH($O$1,'Base de dados IHS'!$A$1:$V$1,0))</f>
        <v>276522.47435759002</v>
      </c>
      <c r="P13" s="11">
        <f>INDEX('Base de dados IHS'!$A$1:$V$676,MATCH($N13,'Base de dados IHS'!$C$1:$C$676,0),MATCH($P$1,'Base de dados IHS'!$A$1:$V$1,0))</f>
        <v>357883.01385108999</v>
      </c>
      <c r="Q13" s="131">
        <f>INDEX('Base de dados IHS'!$A$1:$V$676,MATCH($N13,'Base de dados IHS'!$C$1:$C$676,0),MATCH($Q$1,'Base de dados IHS'!$A$1:$V$1,0))</f>
        <v>1.4427062755235679E-2</v>
      </c>
      <c r="R13" s="131">
        <f>INDEX('Base de dados IHS'!$A$1:$V$676,MATCH($N13,'Base de dados IHS'!$C$1:$C$676,0),MATCH($R$1,'Base de dados IHS'!$A$1:$V$1,0))</f>
        <v>1.2367891518153202E-2</v>
      </c>
      <c r="S13" s="131">
        <f>INDEX('Base de dados IHS'!$A$1:$V$676,MATCH($N13,'Base de dados IHS'!$C$1:$C$676,0),MATCH($S$1,'Base de dados IHS'!$A$1:$V$1,0))</f>
        <v>-2.0591712370824772E-3</v>
      </c>
      <c r="T13" t="str">
        <f>IF(Q13&lt;'Cenario A ranking setor PIB'!$G$30,"N","Y")</f>
        <v>Y</v>
      </c>
    </row>
    <row r="14" spans="1:20" x14ac:dyDescent="0.45">
      <c r="A14" s="293" t="s">
        <v>99</v>
      </c>
      <c r="B14" s="297" t="s">
        <v>1</v>
      </c>
      <c r="C14" s="297" t="s">
        <v>958</v>
      </c>
      <c r="D14" s="311">
        <v>12543.249069019999</v>
      </c>
      <c r="E14" s="311">
        <v>18270.917734940002</v>
      </c>
      <c r="F14" s="302">
        <f t="shared" si="0"/>
        <v>0.45663357511304703</v>
      </c>
      <c r="G14" s="311">
        <v>16872.25095066</v>
      </c>
      <c r="H14" s="311">
        <v>18270.917734940002</v>
      </c>
      <c r="I14" s="302">
        <f t="shared" si="1"/>
        <v>8.2897462132952127E-2</v>
      </c>
      <c r="J14" s="311">
        <v>20226.5913535</v>
      </c>
      <c r="K14" s="311">
        <v>23611.434860820002</v>
      </c>
      <c r="L14" s="311">
        <v>26388.392757270001</v>
      </c>
      <c r="M14" s="312">
        <v>33043.283197639998</v>
      </c>
      <c r="N14" t="str">
        <f t="shared" si="2"/>
        <v>IndonesiaManufacture of chemicals and chemical products (C20)</v>
      </c>
      <c r="O14" s="11">
        <f>INDEX('Base de dados IHS'!$A$1:$V$676,MATCH($N14,'Base de dados IHS'!$C$1:$C$676,0),MATCH($O$1,'Base de dados IHS'!$A$1:$V$1,0))</f>
        <v>917924.88667253999</v>
      </c>
      <c r="P14" s="11">
        <f>INDEX('Base de dados IHS'!$A$1:$V$676,MATCH($N14,'Base de dados IHS'!$C$1:$C$676,0),MATCH($P$1,'Base de dados IHS'!$A$1:$V$1,0))</f>
        <v>1136354.4627425</v>
      </c>
      <c r="Q14" s="131">
        <f>INDEX('Base de dados IHS'!$A$1:$V$676,MATCH($N14,'Base de dados IHS'!$C$1:$C$676,0),MATCH($Q$1,'Base de dados IHS'!$A$1:$V$1,0))</f>
        <v>1.8380862307613845E-2</v>
      </c>
      <c r="R14" s="131">
        <f>INDEX('Base de dados IHS'!$A$1:$V$676,MATCH($N14,'Base de dados IHS'!$C$1:$C$676,0),MATCH($R$1,'Base de dados IHS'!$A$1:$V$1,0))</f>
        <v>1.6078537405348516E-2</v>
      </c>
      <c r="S14" s="131">
        <f>INDEX('Base de dados IHS'!$A$1:$V$676,MATCH($N14,'Base de dados IHS'!$C$1:$C$676,0),MATCH($S$1,'Base de dados IHS'!$A$1:$V$1,0))</f>
        <v>-2.3023249022653298E-3</v>
      </c>
      <c r="T14" t="str">
        <f>IF(Q14&lt;'Cenario A ranking setor PIB'!$G$30,"N","Y")</f>
        <v>Y</v>
      </c>
    </row>
    <row r="15" spans="1:20" hidden="1" x14ac:dyDescent="0.45">
      <c r="A15" s="293" t="s">
        <v>164</v>
      </c>
      <c r="B15" s="297" t="s">
        <v>1</v>
      </c>
      <c r="C15" s="297" t="s">
        <v>958</v>
      </c>
      <c r="D15" s="311">
        <v>1394.9624153300001</v>
      </c>
      <c r="E15" s="311">
        <v>2167.7988798299998</v>
      </c>
      <c r="F15" s="302">
        <f t="shared" si="0"/>
        <v>0.55401956067552782</v>
      </c>
      <c r="G15" s="311">
        <v>1548.27807224</v>
      </c>
      <c r="H15" s="311">
        <v>2167.7988798299998</v>
      </c>
      <c r="I15" s="302">
        <f t="shared" si="1"/>
        <v>0.40013536243763803</v>
      </c>
      <c r="J15" s="311">
        <v>2216.4190986499998</v>
      </c>
      <c r="K15" s="311">
        <v>2493.44031589</v>
      </c>
      <c r="L15" s="311">
        <v>2688.1272344600002</v>
      </c>
      <c r="M15" s="312">
        <v>3208.14127616</v>
      </c>
      <c r="N15" t="str">
        <f t="shared" si="2"/>
        <v>MoroccoManufacture of chemicals and chemical products (C20)</v>
      </c>
      <c r="O15" s="11">
        <f>INDEX('Base de dados IHS'!$A$1:$V$676,MATCH($N15,'Base de dados IHS'!$C$1:$C$676,0),MATCH($O$1,'Base de dados IHS'!$A$1:$V$1,0))</f>
        <v>115608.87885166</v>
      </c>
      <c r="P15" s="11">
        <f>INDEX('Base de dados IHS'!$A$1:$V$676,MATCH($N15,'Base de dados IHS'!$C$1:$C$676,0),MATCH($P$1,'Base de dados IHS'!$A$1:$V$1,0))</f>
        <v>129710.11086108</v>
      </c>
      <c r="Q15" s="131">
        <f>INDEX('Base de dados IHS'!$A$1:$V$676,MATCH($N15,'Base de dados IHS'!$C$1:$C$676,0),MATCH($Q$1,'Base de dados IHS'!$A$1:$V$1,0))</f>
        <v>1.3392380305206711E-2</v>
      </c>
      <c r="R15" s="131">
        <f>INDEX('Base de dados IHS'!$A$1:$V$676,MATCH($N15,'Base de dados IHS'!$C$1:$C$676,0),MATCH($R$1,'Base de dados IHS'!$A$1:$V$1,0))</f>
        <v>1.671264379807462E-2</v>
      </c>
      <c r="S15" s="131">
        <f>INDEX('Base de dados IHS'!$A$1:$V$676,MATCH($N15,'Base de dados IHS'!$C$1:$C$676,0),MATCH($S$1,'Base de dados IHS'!$A$1:$V$1,0))</f>
        <v>3.3202634928679083E-3</v>
      </c>
      <c r="T15" t="str">
        <f>IF(Q15&lt;'Cenario A ranking setor PIB'!$G$30,"N","Y")</f>
        <v>N</v>
      </c>
    </row>
    <row r="16" spans="1:20" x14ac:dyDescent="0.45">
      <c r="A16" s="293" t="s">
        <v>73</v>
      </c>
      <c r="B16" s="297" t="s">
        <v>1</v>
      </c>
      <c r="C16" s="297" t="s">
        <v>958</v>
      </c>
      <c r="D16" s="311">
        <v>16014.7711549</v>
      </c>
      <c r="E16" s="311">
        <v>16715.978325339998</v>
      </c>
      <c r="F16" s="302">
        <f t="shared" si="0"/>
        <v>4.3785025939971245E-2</v>
      </c>
      <c r="G16" s="311">
        <v>15131.698924140001</v>
      </c>
      <c r="H16" s="311">
        <v>16715.978325339998</v>
      </c>
      <c r="I16" s="302">
        <f t="shared" si="1"/>
        <v>0.1046993737545594</v>
      </c>
      <c r="J16" s="311">
        <v>14537.004507580001</v>
      </c>
      <c r="K16" s="311">
        <v>15197.866743529999</v>
      </c>
      <c r="L16" s="311">
        <v>15692.8158719</v>
      </c>
      <c r="M16" s="312">
        <v>17046.277022229999</v>
      </c>
      <c r="N16" t="str">
        <f t="shared" si="2"/>
        <v>TaiwanManufacture of chemicals and chemical products (C20)</v>
      </c>
      <c r="O16" s="11">
        <f>INDEX('Base de dados IHS'!$A$1:$V$676,MATCH($N16,'Base de dados IHS'!$C$1:$C$676,0),MATCH($O$1,'Base de dados IHS'!$A$1:$V$1,0))</f>
        <v>546880.06131035998</v>
      </c>
      <c r="P16" s="11">
        <f>INDEX('Base de dados IHS'!$A$1:$V$676,MATCH($N16,'Base de dados IHS'!$C$1:$C$676,0),MATCH($P$1,'Base de dados IHS'!$A$1:$V$1,0))</f>
        <v>674049.24440882006</v>
      </c>
      <c r="Q16" s="131">
        <f>INDEX('Base de dados IHS'!$A$1:$V$676,MATCH($N16,'Base de dados IHS'!$C$1:$C$676,0),MATCH($Q$1,'Base de dados IHS'!$A$1:$V$1,0))</f>
        <v>2.7669136241470337E-2</v>
      </c>
      <c r="R16" s="131">
        <f>INDEX('Base de dados IHS'!$A$1:$V$676,MATCH($N16,'Base de dados IHS'!$C$1:$C$676,0),MATCH($R$1,'Base de dados IHS'!$A$1:$V$1,0))</f>
        <v>2.479934287293931E-2</v>
      </c>
      <c r="S16" s="131">
        <f>INDEX('Base de dados IHS'!$A$1:$V$676,MATCH($N16,'Base de dados IHS'!$C$1:$C$676,0),MATCH($S$1,'Base de dados IHS'!$A$1:$V$1,0))</f>
        <v>-2.8697933685310276E-3</v>
      </c>
      <c r="T16" t="str">
        <f>IF(Q16&lt;'Cenario A ranking setor PIB'!$G$30,"N","Y")</f>
        <v>Y</v>
      </c>
    </row>
    <row r="17" spans="1:20" hidden="1" x14ac:dyDescent="0.45">
      <c r="A17" s="293" t="s">
        <v>66</v>
      </c>
      <c r="B17" s="297" t="s">
        <v>1</v>
      </c>
      <c r="C17" s="297" t="s">
        <v>958</v>
      </c>
      <c r="D17" s="311">
        <v>11370.338766479999</v>
      </c>
      <c r="E17" s="311">
        <v>13484.227916190001</v>
      </c>
      <c r="F17" s="302">
        <f t="shared" si="0"/>
        <v>0.18591259179909314</v>
      </c>
      <c r="G17" s="311">
        <v>10499.183604469999</v>
      </c>
      <c r="H17" s="311">
        <v>13484.227916190001</v>
      </c>
      <c r="I17" s="302">
        <f t="shared" si="1"/>
        <v>0.28431204026655243</v>
      </c>
      <c r="J17" s="311">
        <v>11519.81237166</v>
      </c>
      <c r="K17" s="311">
        <v>11920.86913357</v>
      </c>
      <c r="L17" s="311">
        <v>12230.150501120001</v>
      </c>
      <c r="M17" s="312">
        <v>12915.729496739999</v>
      </c>
      <c r="N17" t="str">
        <f t="shared" si="2"/>
        <v>NetherlandsManufacture of chemicals and chemical products (C20)</v>
      </c>
      <c r="O17" s="11">
        <f>INDEX('Base de dados IHS'!$A$1:$V$676,MATCH($N17,'Base de dados IHS'!$C$1:$C$676,0),MATCH($O$1,'Base de dados IHS'!$A$1:$V$1,0))</f>
        <v>829203.89806390996</v>
      </c>
      <c r="P17" s="11">
        <f>INDEX('Base de dados IHS'!$A$1:$V$676,MATCH($N17,'Base de dados IHS'!$C$1:$C$676,0),MATCH($P$1,'Base de dados IHS'!$A$1:$V$1,0))</f>
        <v>928325.09368340997</v>
      </c>
      <c r="Q17" s="131">
        <f>INDEX('Base de dados IHS'!$A$1:$V$676,MATCH($N17,'Base de dados IHS'!$C$1:$C$676,0),MATCH($Q$1,'Base de dados IHS'!$A$1:$V$1,0))</f>
        <v>1.2661763444412543E-2</v>
      </c>
      <c r="R17" s="131">
        <f>INDEX('Base de dados IHS'!$A$1:$V$676,MATCH($N17,'Base de dados IHS'!$C$1:$C$676,0),MATCH($R$1,'Base de dados IHS'!$A$1:$V$1,0))</f>
        <v>1.4525329550973633E-2</v>
      </c>
      <c r="S17" s="131">
        <f>INDEX('Base de dados IHS'!$A$1:$V$676,MATCH($N17,'Base de dados IHS'!$C$1:$C$676,0),MATCH($S$1,'Base de dados IHS'!$A$1:$V$1,0))</f>
        <v>1.8635661065610903E-3</v>
      </c>
      <c r="T17" t="str">
        <f>IF(Q17&lt;'Cenario A ranking setor PIB'!$G$30,"N","Y")</f>
        <v>N</v>
      </c>
    </row>
    <row r="18" spans="1:20" x14ac:dyDescent="0.45">
      <c r="A18" s="293" t="s">
        <v>155</v>
      </c>
      <c r="B18" s="297" t="s">
        <v>1</v>
      </c>
      <c r="C18" s="297" t="s">
        <v>958</v>
      </c>
      <c r="D18" s="311">
        <v>5872.6383554599997</v>
      </c>
      <c r="E18" s="311">
        <v>7597.0090686599997</v>
      </c>
      <c r="F18" s="302">
        <f t="shared" si="0"/>
        <v>0.29362794179157858</v>
      </c>
      <c r="G18" s="311">
        <v>8094.8898504400004</v>
      </c>
      <c r="H18" s="311">
        <v>7597.0090686599997</v>
      </c>
      <c r="I18" s="302">
        <f t="shared" si="1"/>
        <v>-6.1505565977891363E-2</v>
      </c>
      <c r="J18" s="311">
        <v>8929.80574892</v>
      </c>
      <c r="K18" s="311">
        <v>10341.504894420001</v>
      </c>
      <c r="L18" s="311">
        <v>11028.77519174</v>
      </c>
      <c r="M18" s="312">
        <v>12425.00304695</v>
      </c>
      <c r="N18" t="str">
        <f t="shared" si="2"/>
        <v>QatarManufacture of chemicals and chemical products (C20)</v>
      </c>
      <c r="O18" s="11">
        <f>INDEX('Base de dados IHS'!$A$1:$V$676,MATCH($N18,'Base de dados IHS'!$C$1:$C$676,0),MATCH($O$1,'Base de dados IHS'!$A$1:$V$1,0))</f>
        <v>170576.82347613</v>
      </c>
      <c r="P18" s="11">
        <f>INDEX('Base de dados IHS'!$A$1:$V$676,MATCH($N18,'Base de dados IHS'!$C$1:$C$676,0),MATCH($P$1,'Base de dados IHS'!$A$1:$V$1,0))</f>
        <v>172715.39534024999</v>
      </c>
      <c r="Q18" s="131">
        <f>INDEX('Base de dados IHS'!$A$1:$V$676,MATCH($N18,'Base de dados IHS'!$C$1:$C$676,0),MATCH($Q$1,'Base de dados IHS'!$A$1:$V$1,0))</f>
        <v>4.7455977227602524E-2</v>
      </c>
      <c r="R18" s="131">
        <f>INDEX('Base de dados IHS'!$A$1:$V$676,MATCH($N18,'Base de dados IHS'!$C$1:$C$676,0),MATCH($R$1,'Base de dados IHS'!$A$1:$V$1,0))</f>
        <v>4.3985708707054531E-2</v>
      </c>
      <c r="S18" s="131">
        <f>INDEX('Base de dados IHS'!$A$1:$V$676,MATCH($N18,'Base de dados IHS'!$C$1:$C$676,0),MATCH($S$1,'Base de dados IHS'!$A$1:$V$1,0))</f>
        <v>-3.4702685205479922E-3</v>
      </c>
      <c r="T18" t="str">
        <f>IF(Q18&lt;'Cenario A ranking setor PIB'!$G$30,"N","Y")</f>
        <v>Y</v>
      </c>
    </row>
    <row r="19" spans="1:20" hidden="1" x14ac:dyDescent="0.45">
      <c r="A19" s="293" t="s">
        <v>98</v>
      </c>
      <c r="B19" s="297" t="s">
        <v>1</v>
      </c>
      <c r="C19" s="297" t="s">
        <v>958</v>
      </c>
      <c r="D19" s="311">
        <v>48939.904579970003</v>
      </c>
      <c r="E19" s="311">
        <v>53337.76649486</v>
      </c>
      <c r="F19" s="302">
        <f t="shared" si="0"/>
        <v>8.9862494678625504E-2</v>
      </c>
      <c r="G19" s="311">
        <v>50463.587496020002</v>
      </c>
      <c r="H19" s="311">
        <v>53337.76649486</v>
      </c>
      <c r="I19" s="302">
        <f t="shared" si="1"/>
        <v>5.695550279826378E-2</v>
      </c>
      <c r="J19" s="311">
        <v>45289.404629899997</v>
      </c>
      <c r="K19" s="311">
        <v>47062.705042139998</v>
      </c>
      <c r="L19" s="311">
        <v>48193.482459979998</v>
      </c>
      <c r="M19" s="312">
        <v>50103.793272299998</v>
      </c>
      <c r="N19" t="str">
        <f t="shared" si="2"/>
        <v>GermanyManufacture of chemicals and chemical products (C20)</v>
      </c>
      <c r="O19" s="11">
        <f>INDEX('Base de dados IHS'!$A$1:$V$676,MATCH($N19,'Base de dados IHS'!$C$1:$C$676,0),MATCH($O$1,'Base de dados IHS'!$A$1:$V$1,0))</f>
        <v>3626843.1759532001</v>
      </c>
      <c r="P19" s="11">
        <f>INDEX('Base de dados IHS'!$A$1:$V$676,MATCH($N19,'Base de dados IHS'!$C$1:$C$676,0),MATCH($P$1,'Base de dados IHS'!$A$1:$V$1,0))</f>
        <v>3849084.4984781002</v>
      </c>
      <c r="Q19" s="131">
        <f>INDEX('Base de dados IHS'!$A$1:$V$676,MATCH($N19,'Base de dados IHS'!$C$1:$C$676,0),MATCH($Q$1,'Base de dados IHS'!$A$1:$V$1,0))</f>
        <v>1.3913914952431671E-2</v>
      </c>
      <c r="R19" s="131">
        <f>INDEX('Base de dados IHS'!$A$1:$V$676,MATCH($N19,'Base de dados IHS'!$C$1:$C$676,0),MATCH($R$1,'Base de dados IHS'!$A$1:$V$1,0))</f>
        <v>1.3857260477380885E-2</v>
      </c>
      <c r="S19" s="131">
        <f>INDEX('Base de dados IHS'!$A$1:$V$676,MATCH($N19,'Base de dados IHS'!$C$1:$C$676,0),MATCH($S$1,'Base de dados IHS'!$A$1:$V$1,0))</f>
        <v>-5.6654475050786635E-5</v>
      </c>
      <c r="T19" t="str">
        <f>IF(Q19&lt;'Cenario A ranking setor PIB'!$G$30,"N","Y")</f>
        <v>N</v>
      </c>
    </row>
    <row r="20" spans="1:20" hidden="1" x14ac:dyDescent="0.45">
      <c r="A20" s="293" t="s">
        <v>176</v>
      </c>
      <c r="B20" s="297" t="s">
        <v>1</v>
      </c>
      <c r="C20" s="297" t="s">
        <v>958</v>
      </c>
      <c r="D20" s="311">
        <v>540.40878298999996</v>
      </c>
      <c r="E20" s="311">
        <v>578.44878681</v>
      </c>
      <c r="F20" s="302">
        <f t="shared" si="0"/>
        <v>7.0391165016842283E-2</v>
      </c>
      <c r="G20" s="311">
        <v>497.70744245999998</v>
      </c>
      <c r="H20" s="311">
        <v>578.44878681</v>
      </c>
      <c r="I20" s="302">
        <f t="shared" si="1"/>
        <v>0.16222651594463366</v>
      </c>
      <c r="J20" s="311">
        <v>632.61967827000001</v>
      </c>
      <c r="K20" s="311">
        <v>686.38403653</v>
      </c>
      <c r="L20" s="311">
        <v>727.54850125999997</v>
      </c>
      <c r="M20" s="312">
        <v>824.15489219000006</v>
      </c>
      <c r="N20" t="str">
        <f t="shared" si="2"/>
        <v>JordanManufacture of chemicals and chemical products (C20)</v>
      </c>
      <c r="O20" s="11">
        <f>INDEX('Base de dados IHS'!$A$1:$V$676,MATCH($N20,'Base de dados IHS'!$C$1:$C$676,0),MATCH($O$1,'Base de dados IHS'!$A$1:$V$1,0))</f>
        <v>41181.394892199998</v>
      </c>
      <c r="P20" s="11">
        <f>INDEX('Base de dados IHS'!$A$1:$V$676,MATCH($N20,'Base de dados IHS'!$C$1:$C$676,0),MATCH($P$1,'Base de dados IHS'!$A$1:$V$1,0))</f>
        <v>44841.419332370002</v>
      </c>
      <c r="Q20" s="131">
        <f>INDEX('Base de dados IHS'!$A$1:$V$676,MATCH($N20,'Base de dados IHS'!$C$1:$C$676,0),MATCH($Q$1,'Base de dados IHS'!$A$1:$V$1,0))</f>
        <v>1.2085735409469308E-2</v>
      </c>
      <c r="R20" s="131">
        <f>INDEX('Base de dados IHS'!$A$1:$V$676,MATCH($N20,'Base de dados IHS'!$C$1:$C$676,0),MATCH($R$1,'Base de dados IHS'!$A$1:$V$1,0))</f>
        <v>1.2899876842043467E-2</v>
      </c>
      <c r="S20" s="131">
        <f>INDEX('Base de dados IHS'!$A$1:$V$676,MATCH($N20,'Base de dados IHS'!$C$1:$C$676,0),MATCH($S$1,'Base de dados IHS'!$A$1:$V$1,0))</f>
        <v>8.1414143257415965E-4</v>
      </c>
      <c r="T20" t="str">
        <f>IF(Q20&lt;'Cenario A ranking setor PIB'!$G$30,"N","Y")</f>
        <v>N</v>
      </c>
    </row>
    <row r="21" spans="1:20" hidden="1" x14ac:dyDescent="0.45">
      <c r="A21" s="293" t="s">
        <v>109</v>
      </c>
      <c r="B21" s="297" t="s">
        <v>1</v>
      </c>
      <c r="C21" s="297" t="s">
        <v>958</v>
      </c>
      <c r="D21" s="311">
        <v>5840.7193428500004</v>
      </c>
      <c r="E21" s="311">
        <v>6511.4014883099999</v>
      </c>
      <c r="F21" s="302">
        <f t="shared" si="0"/>
        <v>0.1148286890862209</v>
      </c>
      <c r="G21" s="311">
        <v>6119.5048181700004</v>
      </c>
      <c r="H21" s="311">
        <v>6511.4014883099999</v>
      </c>
      <c r="I21" s="302">
        <f t="shared" si="1"/>
        <v>6.404058527356371E-2</v>
      </c>
      <c r="J21" s="311">
        <v>6761.2609149199998</v>
      </c>
      <c r="K21" s="311">
        <v>7851.6976686099997</v>
      </c>
      <c r="L21" s="311">
        <v>8678.4409177199996</v>
      </c>
      <c r="M21" s="312">
        <v>10748.122792460001</v>
      </c>
      <c r="N21" t="str">
        <f t="shared" si="2"/>
        <v>ThailandManufacture of chemicals and chemical products (C20)</v>
      </c>
      <c r="O21" s="11">
        <f>INDEX('Base de dados IHS'!$A$1:$V$676,MATCH($N21,'Base de dados IHS'!$C$1:$C$676,0),MATCH($O$1,'Base de dados IHS'!$A$1:$V$1,0))</f>
        <v>474324.68093352998</v>
      </c>
      <c r="P21" s="11">
        <f>INDEX('Base de dados IHS'!$A$1:$V$676,MATCH($N21,'Base de dados IHS'!$C$1:$C$676,0),MATCH($P$1,'Base de dados IHS'!$A$1:$V$1,0))</f>
        <v>518585.14704719</v>
      </c>
      <c r="Q21" s="131">
        <f>INDEX('Base de dados IHS'!$A$1:$V$676,MATCH($N21,'Base de dados IHS'!$C$1:$C$676,0),MATCH($Q$1,'Base de dados IHS'!$A$1:$V$1,0))</f>
        <v>1.2901510429788418E-2</v>
      </c>
      <c r="R21" s="131">
        <f>INDEX('Base de dados IHS'!$A$1:$V$676,MATCH($N21,'Base de dados IHS'!$C$1:$C$676,0),MATCH($R$1,'Base de dados IHS'!$A$1:$V$1,0))</f>
        <v>1.2556089439479218E-2</v>
      </c>
      <c r="S21" s="131">
        <f>INDEX('Base de dados IHS'!$A$1:$V$676,MATCH($N21,'Base de dados IHS'!$C$1:$C$676,0),MATCH($S$1,'Base de dados IHS'!$A$1:$V$1,0))</f>
        <v>-3.4542099030920002E-4</v>
      </c>
      <c r="T21" t="str">
        <f>IF(Q21&lt;'Cenario A ranking setor PIB'!$G$30,"N","Y")</f>
        <v>N</v>
      </c>
    </row>
    <row r="22" spans="1:20" hidden="1" x14ac:dyDescent="0.45">
      <c r="A22" s="293" t="s">
        <v>179</v>
      </c>
      <c r="B22" s="297" t="s">
        <v>1</v>
      </c>
      <c r="C22" s="297" t="s">
        <v>958</v>
      </c>
      <c r="D22" s="311">
        <v>850256.16648001003</v>
      </c>
      <c r="E22" s="311">
        <v>1085317.6580968001</v>
      </c>
      <c r="F22" s="302">
        <f t="shared" si="0"/>
        <v>0.27645961403599717</v>
      </c>
      <c r="G22" s="311">
        <v>908124.31454736996</v>
      </c>
      <c r="H22" s="311">
        <v>1085317.6580968001</v>
      </c>
      <c r="I22" s="302">
        <f t="shared" si="1"/>
        <v>0.19512014017348212</v>
      </c>
      <c r="J22" s="311">
        <v>1193321.9638548</v>
      </c>
      <c r="K22" s="311">
        <v>1327830.6993463</v>
      </c>
      <c r="L22" s="311">
        <v>1432692.495071</v>
      </c>
      <c r="M22" s="312">
        <v>1689124.7227459999</v>
      </c>
      <c r="N22" t="str">
        <f t="shared" si="2"/>
        <v>WorldManufacture of chemicals and chemical products (C20)</v>
      </c>
      <c r="O22" s="11">
        <f>INDEX('Base de dados IHS'!$A$1:$V$676,MATCH($N22,'Base de dados IHS'!$C$1:$C$676,0),MATCH($O$1,'Base de dados IHS'!$A$1:$V$1,0))</f>
        <v>74892116.540485993</v>
      </c>
      <c r="P22" s="11">
        <f>INDEX('Base de dados IHS'!$A$1:$V$676,MATCH($N22,'Base de dados IHS'!$C$1:$C$676,0),MATCH($P$1,'Base de dados IHS'!$A$1:$V$1,0))</f>
        <v>87029234.955234006</v>
      </c>
      <c r="Q22" s="131">
        <f>INDEX('Base de dados IHS'!$A$1:$V$676,MATCH($N22,'Base de dados IHS'!$C$1:$C$676,0),MATCH($Q$1,'Base de dados IHS'!$A$1:$V$1,0))</f>
        <v>1.2125766455758347E-2</v>
      </c>
      <c r="R22" s="131">
        <f>INDEX('Base de dados IHS'!$A$1:$V$676,MATCH($N22,'Base de dados IHS'!$C$1:$C$676,0),MATCH($R$1,'Base de dados IHS'!$A$1:$V$1,0))</f>
        <v>1.2470725023092119E-2</v>
      </c>
      <c r="S22" s="131">
        <f>INDEX('Base de dados IHS'!$A$1:$V$676,MATCH($N22,'Base de dados IHS'!$C$1:$C$676,0),MATCH($S$1,'Base de dados IHS'!$A$1:$V$1,0))</f>
        <v>3.4495856733377135E-4</v>
      </c>
      <c r="T22" t="str">
        <f>IF(Q22&lt;'Cenario A ranking setor PIB'!$G$30,"N","Y")</f>
        <v>N</v>
      </c>
    </row>
    <row r="23" spans="1:20" hidden="1" x14ac:dyDescent="0.45">
      <c r="A23" s="293" t="s">
        <v>100</v>
      </c>
      <c r="B23" s="297" t="s">
        <v>1</v>
      </c>
      <c r="C23" s="297" t="s">
        <v>958</v>
      </c>
      <c r="D23" s="311">
        <v>69526.734414370003</v>
      </c>
      <c r="E23" s="311">
        <v>62463.743102389999</v>
      </c>
      <c r="F23" s="302">
        <f t="shared" si="0"/>
        <v>-0.10158669713847801</v>
      </c>
      <c r="G23" s="311">
        <v>62276.543013080001</v>
      </c>
      <c r="H23" s="311">
        <v>62463.743102389999</v>
      </c>
      <c r="I23" s="302">
        <f t="shared" si="1"/>
        <v>3.0059486325482165E-3</v>
      </c>
      <c r="J23" s="311">
        <v>56480.132002290004</v>
      </c>
      <c r="K23" s="311">
        <v>57343.937937670002</v>
      </c>
      <c r="L23" s="311">
        <v>58274.012677489998</v>
      </c>
      <c r="M23" s="312">
        <v>60394.494879350001</v>
      </c>
      <c r="N23" t="str">
        <f t="shared" si="2"/>
        <v>JapanManufacture of chemicals and chemical products (C20)</v>
      </c>
      <c r="O23" s="11">
        <f>INDEX('Base de dados IHS'!$A$1:$V$676,MATCH($N23,'Base de dados IHS'!$C$1:$C$676,0),MATCH($O$1,'Base de dados IHS'!$A$1:$V$1,0))</f>
        <v>4983596.864085</v>
      </c>
      <c r="P23" s="11">
        <f>INDEX('Base de dados IHS'!$A$1:$V$676,MATCH($N23,'Base de dados IHS'!$C$1:$C$676,0),MATCH($P$1,'Base de dados IHS'!$A$1:$V$1,0))</f>
        <v>5032370.4042106001</v>
      </c>
      <c r="Q23" s="131">
        <f>INDEX('Base de dados IHS'!$A$1:$V$676,MATCH($N23,'Base de dados IHS'!$C$1:$C$676,0),MATCH($Q$1,'Base de dados IHS'!$A$1:$V$1,0))</f>
        <v>1.2496304318249489E-2</v>
      </c>
      <c r="R23" s="131">
        <f>INDEX('Base de dados IHS'!$A$1:$V$676,MATCH($N23,'Base de dados IHS'!$C$1:$C$676,0),MATCH($R$1,'Base de dados IHS'!$A$1:$V$1,0))</f>
        <v>1.2412389805433716E-2</v>
      </c>
      <c r="S23" s="131">
        <f>INDEX('Base de dados IHS'!$A$1:$V$676,MATCH($N23,'Base de dados IHS'!$C$1:$C$676,0),MATCH($S$1,'Base de dados IHS'!$A$1:$V$1,0))</f>
        <v>-8.391451281577339E-5</v>
      </c>
      <c r="T23" t="str">
        <f>IF(Q23&lt;'Cenario A ranking setor PIB'!$G$30,"N","Y")</f>
        <v>N</v>
      </c>
    </row>
    <row r="24" spans="1:20" x14ac:dyDescent="0.45">
      <c r="A24" s="293" t="s">
        <v>127</v>
      </c>
      <c r="B24" s="297" t="s">
        <v>1</v>
      </c>
      <c r="C24" s="297" t="s">
        <v>958</v>
      </c>
      <c r="D24" s="311">
        <v>3407.6026129900001</v>
      </c>
      <c r="E24" s="311">
        <v>10724.46842524</v>
      </c>
      <c r="F24" s="302">
        <f t="shared" si="0"/>
        <v>2.1472180424905289</v>
      </c>
      <c r="G24" s="311">
        <v>9166.1884672199994</v>
      </c>
      <c r="H24" s="311">
        <v>10724.46842524</v>
      </c>
      <c r="I24" s="302">
        <f t="shared" si="1"/>
        <v>0.17000304582353953</v>
      </c>
      <c r="J24" s="311">
        <v>12626.04364785</v>
      </c>
      <c r="K24" s="311">
        <v>14112.09466974</v>
      </c>
      <c r="L24" s="311">
        <v>15205.720860609999</v>
      </c>
      <c r="M24" s="312">
        <v>18017.575189079998</v>
      </c>
      <c r="N24" t="str">
        <f t="shared" si="2"/>
        <v>IrelandManufacture of chemicals and chemical products (C20)</v>
      </c>
      <c r="O24" s="11">
        <f>INDEX('Base de dados IHS'!$A$1:$V$676,MATCH($N24,'Base de dados IHS'!$C$1:$C$676,0),MATCH($O$1,'Base de dados IHS'!$A$1:$V$1,0))</f>
        <v>308812.05776281998</v>
      </c>
      <c r="P24" s="11">
        <f>INDEX('Base de dados IHS'!$A$1:$V$676,MATCH($N24,'Base de dados IHS'!$C$1:$C$676,0),MATCH($P$1,'Base de dados IHS'!$A$1:$V$1,0))</f>
        <v>483748.84960921999</v>
      </c>
      <c r="Q24" s="131">
        <f>INDEX('Base de dados IHS'!$A$1:$V$676,MATCH($N24,'Base de dados IHS'!$C$1:$C$676,0),MATCH($Q$1,'Base de dados IHS'!$A$1:$V$1,0))</f>
        <v>2.9682093806906978E-2</v>
      </c>
      <c r="R24" s="131">
        <f>INDEX('Base de dados IHS'!$A$1:$V$676,MATCH($N24,'Base de dados IHS'!$C$1:$C$676,0),MATCH($R$1,'Base de dados IHS'!$A$1:$V$1,0))</f>
        <v>2.2169496493693777E-2</v>
      </c>
      <c r="S24" s="131">
        <f>INDEX('Base de dados IHS'!$A$1:$V$676,MATCH($N24,'Base de dados IHS'!$C$1:$C$676,0),MATCH($S$1,'Base de dados IHS'!$A$1:$V$1,0))</f>
        <v>-7.5125973132132012E-3</v>
      </c>
      <c r="T24" t="str">
        <f>IF(Q24&lt;'Cenario A ranking setor PIB'!$G$30,"N","Y")</f>
        <v>Y</v>
      </c>
    </row>
    <row r="25" spans="1:20" hidden="1" x14ac:dyDescent="0.45">
      <c r="A25" s="293" t="s">
        <v>142</v>
      </c>
      <c r="B25" s="297" t="s">
        <v>1</v>
      </c>
      <c r="C25" s="297" t="s">
        <v>958</v>
      </c>
      <c r="D25" s="311">
        <v>5787.0413925000003</v>
      </c>
      <c r="E25" s="311">
        <v>5210.2490362299995</v>
      </c>
      <c r="F25" s="302">
        <f t="shared" si="0"/>
        <v>-9.9669644149689818E-2</v>
      </c>
      <c r="G25" s="311">
        <v>5754.7432430400004</v>
      </c>
      <c r="H25" s="311">
        <v>5210.2490362299995</v>
      </c>
      <c r="I25" s="302">
        <f t="shared" si="1"/>
        <v>-9.461659431435665E-2</v>
      </c>
      <c r="J25" s="311">
        <v>5244.0508990899998</v>
      </c>
      <c r="K25" s="311">
        <v>5778.3728682999999</v>
      </c>
      <c r="L25" s="311">
        <v>6202.8199129000004</v>
      </c>
      <c r="M25" s="312">
        <v>7401.1973258300004</v>
      </c>
      <c r="N25" t="str">
        <f t="shared" si="2"/>
        <v>ArgentinaManufacture of chemicals and chemical products (C20)</v>
      </c>
      <c r="O25" s="11">
        <f>INDEX('Base de dados IHS'!$A$1:$V$676,MATCH($N25,'Base de dados IHS'!$C$1:$C$676,0),MATCH($O$1,'Base de dados IHS'!$A$1:$V$1,0))</f>
        <v>464976.94374428003</v>
      </c>
      <c r="P25" s="11">
        <f>INDEX('Base de dados IHS'!$A$1:$V$676,MATCH($N25,'Base de dados IHS'!$C$1:$C$676,0),MATCH($P$1,'Base de dados IHS'!$A$1:$V$1,0))</f>
        <v>445673.70595729002</v>
      </c>
      <c r="Q25" s="131">
        <f>INDEX('Base de dados IHS'!$A$1:$V$676,MATCH($N25,'Base de dados IHS'!$C$1:$C$676,0),MATCH($Q$1,'Base de dados IHS'!$A$1:$V$1,0))</f>
        <v>1.2376405584111919E-2</v>
      </c>
      <c r="R25" s="131">
        <f>INDEX('Base de dados IHS'!$A$1:$V$676,MATCH($N25,'Base de dados IHS'!$C$1:$C$676,0),MATCH($R$1,'Base de dados IHS'!$A$1:$V$1,0))</f>
        <v>1.1690725673480298E-2</v>
      </c>
      <c r="S25" s="131">
        <f>INDEX('Base de dados IHS'!$A$1:$V$676,MATCH($N25,'Base de dados IHS'!$C$1:$C$676,0),MATCH($S$1,'Base de dados IHS'!$A$1:$V$1,0))</f>
        <v>-6.8567991063162026E-4</v>
      </c>
      <c r="T25" t="str">
        <f>IF(Q25&lt;'Cenario A ranking setor PIB'!$G$30,"N","Y")</f>
        <v>N</v>
      </c>
    </row>
    <row r="26" spans="1:20" hidden="1" x14ac:dyDescent="0.45">
      <c r="A26" s="293" t="s">
        <v>154</v>
      </c>
      <c r="B26" s="297" t="s">
        <v>1</v>
      </c>
      <c r="C26" s="297" t="s">
        <v>958</v>
      </c>
      <c r="D26" s="311">
        <v>2054.4424514500001</v>
      </c>
      <c r="E26" s="311">
        <v>3439.4182519400001</v>
      </c>
      <c r="F26" s="302">
        <f t="shared" si="0"/>
        <v>0.67413706308127597</v>
      </c>
      <c r="G26" s="311">
        <v>2445.6771420700002</v>
      </c>
      <c r="H26" s="311">
        <v>3439.4182519400001</v>
      </c>
      <c r="I26" s="302">
        <f t="shared" si="1"/>
        <v>0.4063255499983558</v>
      </c>
      <c r="J26" s="311">
        <v>4170.8665158900003</v>
      </c>
      <c r="K26" s="311">
        <v>5061.3375680299996</v>
      </c>
      <c r="L26" s="311">
        <v>5749.5054175100004</v>
      </c>
      <c r="M26" s="312">
        <v>7686.8027362700004</v>
      </c>
      <c r="N26" t="str">
        <f t="shared" si="2"/>
        <v>PakistanManufacture of chemicals and chemical products (C20)</v>
      </c>
      <c r="O26" s="11">
        <f>INDEX('Base de dados IHS'!$A$1:$V$676,MATCH($N26,'Base de dados IHS'!$C$1:$C$676,0),MATCH($O$1,'Base de dados IHS'!$A$1:$V$1,0))</f>
        <v>243681.57424943999</v>
      </c>
      <c r="P26" s="11">
        <f>INDEX('Base de dados IHS'!$A$1:$V$676,MATCH($N26,'Base de dados IHS'!$C$1:$C$676,0),MATCH($P$1,'Base de dados IHS'!$A$1:$V$1,0))</f>
        <v>307178.14587732003</v>
      </c>
      <c r="Q26" s="131">
        <f>INDEX('Base de dados IHS'!$A$1:$V$676,MATCH($N26,'Base de dados IHS'!$C$1:$C$676,0),MATCH($Q$1,'Base de dados IHS'!$A$1:$V$1,0))</f>
        <v>1.0036364668124352E-2</v>
      </c>
      <c r="R26" s="131">
        <f>INDEX('Base de dados IHS'!$A$1:$V$676,MATCH($N26,'Base de dados IHS'!$C$1:$C$676,0),MATCH($R$1,'Base de dados IHS'!$A$1:$V$1,0))</f>
        <v>1.1196819494162926E-2</v>
      </c>
      <c r="S26" s="131">
        <f>INDEX('Base de dados IHS'!$A$1:$V$676,MATCH($N26,'Base de dados IHS'!$C$1:$C$676,0),MATCH($S$1,'Base de dados IHS'!$A$1:$V$1,0))</f>
        <v>1.1604548260385743E-3</v>
      </c>
      <c r="T26" t="str">
        <f>IF(Q26&lt;'Cenario A ranking setor PIB'!$G$30,"N","Y")</f>
        <v>N</v>
      </c>
    </row>
    <row r="27" spans="1:20" hidden="1" x14ac:dyDescent="0.45">
      <c r="A27" s="293" t="s">
        <v>152</v>
      </c>
      <c r="B27" s="297" t="s">
        <v>1</v>
      </c>
      <c r="C27" s="297" t="s">
        <v>958</v>
      </c>
      <c r="D27" s="311">
        <v>3076.7355480900001</v>
      </c>
      <c r="E27" s="311">
        <v>3632.4281203199998</v>
      </c>
      <c r="F27" s="302">
        <f t="shared" si="0"/>
        <v>0.18061109365573103</v>
      </c>
      <c r="G27" s="311">
        <v>3168.8884773700001</v>
      </c>
      <c r="H27" s="311">
        <v>3632.4281203199998</v>
      </c>
      <c r="I27" s="302">
        <f t="shared" si="1"/>
        <v>0.14627830744448023</v>
      </c>
      <c r="J27" s="311">
        <v>4415.02340129</v>
      </c>
      <c r="K27" s="311">
        <v>5025.3129146499996</v>
      </c>
      <c r="L27" s="311">
        <v>5515.0000174999996</v>
      </c>
      <c r="M27" s="312">
        <v>6818.80766477</v>
      </c>
      <c r="N27" t="str">
        <f t="shared" si="2"/>
        <v>ColombiaManufacture of chemicals and chemical products (C20)</v>
      </c>
      <c r="O27" s="11">
        <f>INDEX('Base de dados IHS'!$A$1:$V$676,MATCH($N27,'Base de dados IHS'!$C$1:$C$676,0),MATCH($O$1,'Base de dados IHS'!$A$1:$V$1,0))</f>
        <v>295018.32730579999</v>
      </c>
      <c r="P27" s="11">
        <f>INDEX('Base de dados IHS'!$A$1:$V$676,MATCH($N27,'Base de dados IHS'!$C$1:$C$676,0),MATCH($P$1,'Base de dados IHS'!$A$1:$V$1,0))</f>
        <v>332655.81031924998</v>
      </c>
      <c r="Q27" s="131">
        <f>INDEX('Base de dados IHS'!$A$1:$V$676,MATCH($N27,'Base de dados IHS'!$C$1:$C$676,0),MATCH($Q$1,'Base de dados IHS'!$A$1:$V$1,0))</f>
        <v>1.0741327517884347E-2</v>
      </c>
      <c r="R27" s="131">
        <f>INDEX('Base de dados IHS'!$A$1:$V$676,MATCH($N27,'Base de dados IHS'!$C$1:$C$676,0),MATCH($R$1,'Base de dados IHS'!$A$1:$V$1,0))</f>
        <v>1.0919478955843148E-2</v>
      </c>
      <c r="S27" s="131">
        <f>INDEX('Base de dados IHS'!$A$1:$V$676,MATCH($N27,'Base de dados IHS'!$C$1:$C$676,0),MATCH($S$1,'Base de dados IHS'!$A$1:$V$1,0))</f>
        <v>1.7815143795880083E-4</v>
      </c>
      <c r="T27" t="str">
        <f>IF(Q27&lt;'Cenario A ranking setor PIB'!$G$30,"N","Y")</f>
        <v>N</v>
      </c>
    </row>
    <row r="28" spans="1:20" hidden="1" x14ac:dyDescent="0.45">
      <c r="A28" s="293" t="s">
        <v>158</v>
      </c>
      <c r="B28" s="297" t="s">
        <v>1</v>
      </c>
      <c r="C28" s="297" t="s">
        <v>958</v>
      </c>
      <c r="D28" s="311">
        <v>513.41351622000002</v>
      </c>
      <c r="E28" s="311">
        <v>703.23402035000004</v>
      </c>
      <c r="F28" s="302">
        <f t="shared" si="0"/>
        <v>0.36972245204518739</v>
      </c>
      <c r="G28" s="311">
        <v>586.22089110000002</v>
      </c>
      <c r="H28" s="311">
        <v>703.23402035000004</v>
      </c>
      <c r="I28" s="302">
        <f t="shared" si="1"/>
        <v>0.19960586704856853</v>
      </c>
      <c r="J28" s="311">
        <v>784.26040003000003</v>
      </c>
      <c r="K28" s="311">
        <v>895.41342191000001</v>
      </c>
      <c r="L28" s="311">
        <v>991.97243319999995</v>
      </c>
      <c r="M28" s="312">
        <v>1272.5474323999999</v>
      </c>
      <c r="N28" t="str">
        <f t="shared" si="2"/>
        <v>GhanaManufacture of chemicals and chemical products (C20)</v>
      </c>
      <c r="O28" s="11">
        <f>INDEX('Base de dados IHS'!$A$1:$V$676,MATCH($N28,'Base de dados IHS'!$C$1:$C$676,0),MATCH($O$1,'Base de dados IHS'!$A$1:$V$1,0))</f>
        <v>54050.698328470004</v>
      </c>
      <c r="P28" s="11">
        <f>INDEX('Base de dados IHS'!$A$1:$V$676,MATCH($N28,'Base de dados IHS'!$C$1:$C$676,0),MATCH($P$1,'Base de dados IHS'!$A$1:$V$1,0))</f>
        <v>72367.878986030002</v>
      </c>
      <c r="Q28" s="131">
        <f>INDEX('Base de dados IHS'!$A$1:$V$676,MATCH($N28,'Base de dados IHS'!$C$1:$C$676,0),MATCH($Q$1,'Base de dados IHS'!$A$1:$V$1,0))</f>
        <v>1.0845759800132335E-2</v>
      </c>
      <c r="R28" s="131">
        <f>INDEX('Base de dados IHS'!$A$1:$V$676,MATCH($N28,'Base de dados IHS'!$C$1:$C$676,0),MATCH($R$1,'Base de dados IHS'!$A$1:$V$1,0))</f>
        <v>9.717488341557631E-3</v>
      </c>
      <c r="S28" s="131">
        <f>INDEX('Base de dados IHS'!$A$1:$V$676,MATCH($N28,'Base de dados IHS'!$C$1:$C$676,0),MATCH($S$1,'Base de dados IHS'!$A$1:$V$1,0))</f>
        <v>-1.1282714585747044E-3</v>
      </c>
      <c r="T28" t="str">
        <f>IF(Q28&lt;'Cenario A ranking setor PIB'!$G$30,"N","Y")</f>
        <v>N</v>
      </c>
    </row>
    <row r="29" spans="1:20" hidden="1" x14ac:dyDescent="0.45">
      <c r="A29" s="293" t="s">
        <v>113</v>
      </c>
      <c r="B29" s="297" t="s">
        <v>1</v>
      </c>
      <c r="C29" s="297" t="s">
        <v>958</v>
      </c>
      <c r="D29" s="311">
        <v>1480.34004669</v>
      </c>
      <c r="E29" s="311">
        <v>1622.3903462799999</v>
      </c>
      <c r="F29" s="302">
        <f t="shared" si="0"/>
        <v>9.5957884749264588E-2</v>
      </c>
      <c r="G29" s="311">
        <v>1538.8839696</v>
      </c>
      <c r="H29" s="311">
        <v>1622.3903462799999</v>
      </c>
      <c r="I29" s="302">
        <f t="shared" si="1"/>
        <v>5.4264244952597407E-2</v>
      </c>
      <c r="J29" s="311">
        <v>1193.23417836</v>
      </c>
      <c r="K29" s="311">
        <v>1240.95849456</v>
      </c>
      <c r="L29" s="311">
        <v>1223.73034796</v>
      </c>
      <c r="M29" s="312">
        <v>1277.4673937099999</v>
      </c>
      <c r="N29" t="str">
        <f t="shared" si="2"/>
        <v>HungaryManufacture of chemicals and chemical products (C20)</v>
      </c>
      <c r="O29" s="11">
        <f>INDEX('Base de dados IHS'!$A$1:$V$676,MATCH($N29,'Base de dados IHS'!$C$1:$C$676,0),MATCH($O$1,'Base de dados IHS'!$A$1:$V$1,0))</f>
        <v>139098.07965294999</v>
      </c>
      <c r="P29" s="11">
        <f>INDEX('Base de dados IHS'!$A$1:$V$676,MATCH($N29,'Base de dados IHS'!$C$1:$C$676,0),MATCH($P$1,'Base de dados IHS'!$A$1:$V$1,0))</f>
        <v>167320.49519441</v>
      </c>
      <c r="Q29" s="131">
        <f>INDEX('Base de dados IHS'!$A$1:$V$676,MATCH($N29,'Base de dados IHS'!$C$1:$C$676,0),MATCH($Q$1,'Base de dados IHS'!$A$1:$V$1,0))</f>
        <v>1.1063301329820792E-2</v>
      </c>
      <c r="R29" s="131">
        <f>INDEX('Base de dados IHS'!$A$1:$V$676,MATCH($N29,'Base de dados IHS'!$C$1:$C$676,0),MATCH($R$1,'Base de dados IHS'!$A$1:$V$1,0))</f>
        <v>9.6963037576176282E-3</v>
      </c>
      <c r="S29" s="131">
        <f>INDEX('Base de dados IHS'!$A$1:$V$676,MATCH($N29,'Base de dados IHS'!$C$1:$C$676,0),MATCH($S$1,'Base de dados IHS'!$A$1:$V$1,0))</f>
        <v>-1.3669975722031633E-3</v>
      </c>
      <c r="T29" t="str">
        <f>IF(Q29&lt;'Cenario A ranking setor PIB'!$G$30,"N","Y")</f>
        <v>N</v>
      </c>
    </row>
    <row r="30" spans="1:20" hidden="1" x14ac:dyDescent="0.45">
      <c r="A30" s="293" t="s">
        <v>166</v>
      </c>
      <c r="B30" s="297" t="s">
        <v>1</v>
      </c>
      <c r="C30" s="297" t="s">
        <v>958</v>
      </c>
      <c r="D30" s="311">
        <v>176.34488611</v>
      </c>
      <c r="E30" s="311">
        <v>246.97025292000001</v>
      </c>
      <c r="F30" s="302">
        <f t="shared" si="0"/>
        <v>0.40049568982649975</v>
      </c>
      <c r="G30" s="311">
        <v>226.06316742999999</v>
      </c>
      <c r="H30" s="311">
        <v>246.97025292000001</v>
      </c>
      <c r="I30" s="302">
        <f t="shared" si="1"/>
        <v>9.2483378551589279E-2</v>
      </c>
      <c r="J30" s="311">
        <v>277.83087993999999</v>
      </c>
      <c r="K30" s="311">
        <v>315.58693241999998</v>
      </c>
      <c r="L30" s="311">
        <v>347.32543554</v>
      </c>
      <c r="M30" s="312">
        <v>432.49342917000001</v>
      </c>
      <c r="N30" t="str">
        <f t="shared" si="2"/>
        <v>HondurasManufacture of chemicals and chemical products (C20)</v>
      </c>
      <c r="O30" s="11">
        <f>INDEX('Base de dados IHS'!$A$1:$V$676,MATCH($N30,'Base de dados IHS'!$C$1:$C$676,0),MATCH($O$1,'Base de dados IHS'!$A$1:$V$1,0))</f>
        <v>21608.112082880001</v>
      </c>
      <c r="P30" s="11">
        <f>INDEX('Base de dados IHS'!$A$1:$V$676,MATCH($N30,'Base de dados IHS'!$C$1:$C$676,0),MATCH($P$1,'Base de dados IHS'!$A$1:$V$1,0))</f>
        <v>25703.55773198</v>
      </c>
      <c r="Q30" s="131">
        <f>INDEX('Base de dados IHS'!$A$1:$V$676,MATCH($N30,'Base de dados IHS'!$C$1:$C$676,0),MATCH($Q$1,'Base de dados IHS'!$A$1:$V$1,0))</f>
        <v>1.0461958294316176E-2</v>
      </c>
      <c r="R30" s="131">
        <f>INDEX('Base de dados IHS'!$A$1:$V$676,MATCH($N30,'Base de dados IHS'!$C$1:$C$676,0),MATCH($R$1,'Base de dados IHS'!$A$1:$V$1,0))</f>
        <v>9.6084073455995987E-3</v>
      </c>
      <c r="S30" s="131">
        <f>INDEX('Base de dados IHS'!$A$1:$V$676,MATCH($N30,'Base de dados IHS'!$C$1:$C$676,0),MATCH($S$1,'Base de dados IHS'!$A$1:$V$1,0))</f>
        <v>-8.5355094871657732E-4</v>
      </c>
      <c r="T30" t="str">
        <f>IF(Q30&lt;'Cenario A ranking setor PIB'!$G$30,"N","Y")</f>
        <v>N</v>
      </c>
    </row>
    <row r="31" spans="1:20" hidden="1" x14ac:dyDescent="0.45">
      <c r="A31" s="293" t="s">
        <v>141</v>
      </c>
      <c r="B31" s="297" t="s">
        <v>1</v>
      </c>
      <c r="C31" s="297" t="s">
        <v>958</v>
      </c>
      <c r="D31" s="311">
        <v>204834.42078044001</v>
      </c>
      <c r="E31" s="311">
        <v>212096.14351637001</v>
      </c>
      <c r="F31" s="302">
        <f t="shared" si="0"/>
        <v>3.5451672176297855E-2</v>
      </c>
      <c r="G31" s="311">
        <v>168912.38025377001</v>
      </c>
      <c r="H31" s="311">
        <v>212096.14351637001</v>
      </c>
      <c r="I31" s="302">
        <f t="shared" si="1"/>
        <v>0.25565777474523599</v>
      </c>
      <c r="J31" s="311">
        <v>210839.66504391</v>
      </c>
      <c r="K31" s="311">
        <v>214857.12695211</v>
      </c>
      <c r="L31" s="311">
        <v>219622.91559556001</v>
      </c>
      <c r="M31" s="312">
        <v>233292.54187968999</v>
      </c>
      <c r="N31" t="str">
        <f t="shared" si="2"/>
        <v>United StatesManufacture of chemicals and chemical products (C20)</v>
      </c>
      <c r="O31" s="11">
        <f>INDEX('Base de dados IHS'!$A$1:$V$676,MATCH($N31,'Base de dados IHS'!$C$1:$C$676,0),MATCH($O$1,'Base de dados IHS'!$A$1:$V$1,0))</f>
        <v>19553083.060252</v>
      </c>
      <c r="P31" s="11">
        <f>INDEX('Base de dados IHS'!$A$1:$V$676,MATCH($N31,'Base de dados IHS'!$C$1:$C$676,0),MATCH($P$1,'Base de dados IHS'!$A$1:$V$1,0))</f>
        <v>22265681.170655001</v>
      </c>
      <c r="Q31" s="131">
        <f>INDEX('Base de dados IHS'!$A$1:$V$676,MATCH($N31,'Base de dados IHS'!$C$1:$C$676,0),MATCH($Q$1,'Base de dados IHS'!$A$1:$V$1,0))</f>
        <v>8.638657122934202E-3</v>
      </c>
      <c r="R31" s="131">
        <f>INDEX('Base de dados IHS'!$A$1:$V$676,MATCH($N31,'Base de dados IHS'!$C$1:$C$676,0),MATCH($R$1,'Base de dados IHS'!$A$1:$V$1,0))</f>
        <v>9.5256975023922281E-3</v>
      </c>
      <c r="S31" s="131">
        <f>INDEX('Base de dados IHS'!$A$1:$V$676,MATCH($N31,'Base de dados IHS'!$C$1:$C$676,0),MATCH($S$1,'Base de dados IHS'!$A$1:$V$1,0))</f>
        <v>8.8704037945802616E-4</v>
      </c>
      <c r="T31" t="str">
        <f>IF(Q31&lt;'Cenario A ranking setor PIB'!$G$30,"N","Y")</f>
        <v>N</v>
      </c>
    </row>
    <row r="32" spans="1:20" hidden="1" x14ac:dyDescent="0.45">
      <c r="A32" s="293" t="s">
        <v>106</v>
      </c>
      <c r="B32" s="297" t="s">
        <v>1</v>
      </c>
      <c r="C32" s="297" t="s">
        <v>958</v>
      </c>
      <c r="D32" s="311">
        <v>10381.454827379999</v>
      </c>
      <c r="E32" s="311">
        <v>16149.809531680001</v>
      </c>
      <c r="F32" s="302">
        <f t="shared" si="0"/>
        <v>0.55564030284913146</v>
      </c>
      <c r="G32" s="311">
        <v>13184.99312168</v>
      </c>
      <c r="H32" s="311">
        <v>16149.809531680001</v>
      </c>
      <c r="I32" s="302">
        <f t="shared" si="1"/>
        <v>0.2248629470367316</v>
      </c>
      <c r="J32" s="311">
        <v>16547.588005329999</v>
      </c>
      <c r="K32" s="311">
        <v>17476.02361977</v>
      </c>
      <c r="L32" s="311">
        <v>18201.435969720002</v>
      </c>
      <c r="M32" s="312">
        <v>19734.863527779999</v>
      </c>
      <c r="N32" t="str">
        <f t="shared" si="2"/>
        <v>RussiaManufacture of chemicals and chemical products (C20)</v>
      </c>
      <c r="O32" s="11">
        <f>INDEX('Base de dados IHS'!$A$1:$V$676,MATCH($N32,'Base de dados IHS'!$C$1:$C$676,0),MATCH($O$1,'Base de dados IHS'!$A$1:$V$1,0))</f>
        <v>1579786.0768998</v>
      </c>
      <c r="P32" s="11">
        <f>INDEX('Base de dados IHS'!$A$1:$V$676,MATCH($N32,'Base de dados IHS'!$C$1:$C$676,0),MATCH($P$1,'Base de dados IHS'!$A$1:$V$1,0))</f>
        <v>1741025.8573970001</v>
      </c>
      <c r="Q32" s="131">
        <f>INDEX('Base de dados IHS'!$A$1:$V$676,MATCH($N32,'Base de dados IHS'!$C$1:$C$676,0),MATCH($Q$1,'Base de dados IHS'!$A$1:$V$1,0))</f>
        <v>8.3460623653263625E-3</v>
      </c>
      <c r="R32" s="131">
        <f>INDEX('Base de dados IHS'!$A$1:$V$676,MATCH($N32,'Base de dados IHS'!$C$1:$C$676,0),MATCH($R$1,'Base de dados IHS'!$A$1:$V$1,0))</f>
        <v>9.2760308315153386E-3</v>
      </c>
      <c r="S32" s="131">
        <f>INDEX('Base de dados IHS'!$A$1:$V$676,MATCH($N32,'Base de dados IHS'!$C$1:$C$676,0),MATCH($S$1,'Base de dados IHS'!$A$1:$V$1,0))</f>
        <v>9.2996846618897608E-4</v>
      </c>
      <c r="T32" t="str">
        <f>IF(Q32&lt;'Cenario A ranking setor PIB'!$G$30,"N","Y")</f>
        <v>N</v>
      </c>
    </row>
    <row r="33" spans="1:20" hidden="1" x14ac:dyDescent="0.45">
      <c r="A33" s="293" t="s">
        <v>123</v>
      </c>
      <c r="B33" s="297" t="s">
        <v>1</v>
      </c>
      <c r="C33" s="297" t="s">
        <v>958</v>
      </c>
      <c r="D33" s="311">
        <v>3457.1113204399999</v>
      </c>
      <c r="E33" s="311">
        <v>3900.3024681100001</v>
      </c>
      <c r="F33" s="302">
        <f t="shared" si="0"/>
        <v>0.12819695595269209</v>
      </c>
      <c r="G33" s="311">
        <v>3511.7834873500001</v>
      </c>
      <c r="H33" s="311">
        <v>3900.3024681100001</v>
      </c>
      <c r="I33" s="302">
        <f t="shared" si="1"/>
        <v>0.1106329539276858</v>
      </c>
      <c r="J33" s="311">
        <v>4088.4951394200002</v>
      </c>
      <c r="K33" s="311">
        <v>4445.7083895200003</v>
      </c>
      <c r="L33" s="311">
        <v>4737.0619972300001</v>
      </c>
      <c r="M33" s="312">
        <v>5487.8841413299997</v>
      </c>
      <c r="N33" t="str">
        <f t="shared" si="2"/>
        <v>IsraelManufacture of chemicals and chemical products (C20)</v>
      </c>
      <c r="O33" s="11">
        <f>INDEX('Base de dados IHS'!$A$1:$V$676,MATCH($N33,'Base de dados IHS'!$C$1:$C$676,0),MATCH($O$1,'Base de dados IHS'!$A$1:$V$1,0))</f>
        <v>339252.33917334001</v>
      </c>
      <c r="P33" s="11">
        <f>INDEX('Base de dados IHS'!$A$1:$V$676,MATCH($N33,'Base de dados IHS'!$C$1:$C$676,0),MATCH($P$1,'Base de dados IHS'!$A$1:$V$1,0))</f>
        <v>430314.68651226</v>
      </c>
      <c r="Q33" s="131">
        <f>INDEX('Base de dados IHS'!$A$1:$V$676,MATCH($N33,'Base de dados IHS'!$C$1:$C$676,0),MATCH($Q$1,'Base de dados IHS'!$A$1:$V$1,0))</f>
        <v>1.0351538020068491E-2</v>
      </c>
      <c r="R33" s="131">
        <f>INDEX('Base de dados IHS'!$A$1:$V$676,MATCH($N33,'Base de dados IHS'!$C$1:$C$676,0),MATCH($R$1,'Base de dados IHS'!$A$1:$V$1,0))</f>
        <v>9.063837675916453E-3</v>
      </c>
      <c r="S33" s="131">
        <f>INDEX('Base de dados IHS'!$A$1:$V$676,MATCH($N33,'Base de dados IHS'!$C$1:$C$676,0),MATCH($S$1,'Base de dados IHS'!$A$1:$V$1,0))</f>
        <v>-1.2877003441520377E-3</v>
      </c>
      <c r="T33" t="str">
        <f>IF(Q33&lt;'Cenario A ranking setor PIB'!$G$30,"N","Y")</f>
        <v>N</v>
      </c>
    </row>
    <row r="34" spans="1:20" hidden="1" x14ac:dyDescent="0.45">
      <c r="A34" s="293" t="s">
        <v>122</v>
      </c>
      <c r="B34" s="297" t="s">
        <v>1</v>
      </c>
      <c r="C34" s="297" t="s">
        <v>958</v>
      </c>
      <c r="D34" s="311">
        <v>1837.0726042900001</v>
      </c>
      <c r="E34" s="311">
        <v>3179.4687450500001</v>
      </c>
      <c r="F34" s="302">
        <f t="shared" ref="F34:F65" si="3">H34/D34-1</f>
        <v>0.73072568695716589</v>
      </c>
      <c r="G34" s="311">
        <v>2408.5446115999998</v>
      </c>
      <c r="H34" s="311">
        <v>3179.4687450500001</v>
      </c>
      <c r="I34" s="302">
        <f t="shared" ref="I34:I65" si="4">H34/G34-1</f>
        <v>0.32007882674752453</v>
      </c>
      <c r="J34" s="311">
        <v>4263.0884472199996</v>
      </c>
      <c r="K34" s="311">
        <v>5760.3790787799999</v>
      </c>
      <c r="L34" s="311">
        <v>7126.9153066999997</v>
      </c>
      <c r="M34" s="312">
        <v>11135.860535850001</v>
      </c>
      <c r="N34" t="str">
        <f t="shared" ref="N34:N65" si="5">A34&amp;B34</f>
        <v>VietnamManufacture of chemicals and chemical products (C20)</v>
      </c>
      <c r="O34" s="11">
        <f>INDEX('Base de dados IHS'!$A$1:$V$676,MATCH($N34,'Base de dados IHS'!$C$1:$C$676,0),MATCH($O$1,'Base de dados IHS'!$A$1:$V$1,0))</f>
        <v>254018.52751081</v>
      </c>
      <c r="P34" s="11">
        <f>INDEX('Base de dados IHS'!$A$1:$V$676,MATCH($N34,'Base de dados IHS'!$C$1:$C$676,0),MATCH($P$1,'Base de dados IHS'!$A$1:$V$1,0))</f>
        <v>352775.42056751001</v>
      </c>
      <c r="Q34" s="131">
        <f>INDEX('Base de dados IHS'!$A$1:$V$676,MATCH($N34,'Base de dados IHS'!$C$1:$C$676,0),MATCH($Q$1,'Base de dados IHS'!$A$1:$V$1,0))</f>
        <v>9.4817674726403647E-3</v>
      </c>
      <c r="R34" s="131">
        <f>INDEX('Base de dados IHS'!$A$1:$V$676,MATCH($N34,'Base de dados IHS'!$C$1:$C$676,0),MATCH($R$1,'Base de dados IHS'!$A$1:$V$1,0))</f>
        <v>9.0127275305495694E-3</v>
      </c>
      <c r="S34" s="131">
        <f>INDEX('Base de dados IHS'!$A$1:$V$676,MATCH($N34,'Base de dados IHS'!$C$1:$C$676,0),MATCH($S$1,'Base de dados IHS'!$A$1:$V$1,0))</f>
        <v>-4.6903994209079522E-4</v>
      </c>
      <c r="T34" t="str">
        <f>IF(Q34&lt;'Cenario A ranking setor PIB'!$G$30,"N","Y")</f>
        <v>N</v>
      </c>
    </row>
    <row r="35" spans="1:20" hidden="1" x14ac:dyDescent="0.45">
      <c r="A35" s="293" t="s">
        <v>126</v>
      </c>
      <c r="B35" s="297" t="s">
        <v>1</v>
      </c>
      <c r="C35" s="297" t="s">
        <v>958</v>
      </c>
      <c r="D35" s="311">
        <v>2210.81752916</v>
      </c>
      <c r="E35" s="311">
        <v>2418.9211452099998</v>
      </c>
      <c r="F35" s="302">
        <f t="shared" si="3"/>
        <v>9.4129711432616059E-2</v>
      </c>
      <c r="G35" s="311">
        <v>2416.3638154199998</v>
      </c>
      <c r="H35" s="311">
        <v>2418.9211452099998</v>
      </c>
      <c r="I35" s="302">
        <f t="shared" si="4"/>
        <v>1.0583380588968794E-3</v>
      </c>
      <c r="J35" s="311">
        <v>2554.74219898</v>
      </c>
      <c r="K35" s="311">
        <v>2731.2702123499998</v>
      </c>
      <c r="L35" s="311">
        <v>2852.3636061500001</v>
      </c>
      <c r="M35" s="312">
        <v>3161.17511109</v>
      </c>
      <c r="N35" t="str">
        <f t="shared" si="5"/>
        <v>FinlandManufacture of chemicals and chemical products (C20)</v>
      </c>
      <c r="O35" s="11">
        <f>INDEX('Base de dados IHS'!$A$1:$V$676,MATCH($N35,'Base de dados IHS'!$C$1:$C$676,0),MATCH($O$1,'Base de dados IHS'!$A$1:$V$1,0))</f>
        <v>247207.29862345001</v>
      </c>
      <c r="P35" s="11">
        <f>INDEX('Base de dados IHS'!$A$1:$V$676,MATCH($N35,'Base de dados IHS'!$C$1:$C$676,0),MATCH($P$1,'Base de dados IHS'!$A$1:$V$1,0))</f>
        <v>270499.52733732999</v>
      </c>
      <c r="Q35" s="131">
        <f>INDEX('Base de dados IHS'!$A$1:$V$676,MATCH($N35,'Base de dados IHS'!$C$1:$C$676,0),MATCH($Q$1,'Base de dados IHS'!$A$1:$V$1,0))</f>
        <v>9.774645930258891E-3</v>
      </c>
      <c r="R35" s="131">
        <f>INDEX('Base de dados IHS'!$A$1:$V$676,MATCH($N35,'Base de dados IHS'!$C$1:$C$676,0),MATCH($R$1,'Base de dados IHS'!$A$1:$V$1,0))</f>
        <v>8.9424228168556181E-3</v>
      </c>
      <c r="S35" s="131">
        <f>INDEX('Base de dados IHS'!$A$1:$V$676,MATCH($N35,'Base de dados IHS'!$C$1:$C$676,0),MATCH($S$1,'Base de dados IHS'!$A$1:$V$1,0))</f>
        <v>-8.3222311340327287E-4</v>
      </c>
      <c r="T35" t="str">
        <f>IF(Q35&lt;'Cenario A ranking setor PIB'!$G$30,"N","Y")</f>
        <v>N</v>
      </c>
    </row>
    <row r="36" spans="1:20" hidden="1" x14ac:dyDescent="0.45">
      <c r="A36" s="293" t="s">
        <v>116</v>
      </c>
      <c r="B36" s="297" t="s">
        <v>1</v>
      </c>
      <c r="C36" s="297" t="s">
        <v>958</v>
      </c>
      <c r="D36" s="311">
        <v>1750.33947122</v>
      </c>
      <c r="E36" s="311">
        <v>3221.92173379</v>
      </c>
      <c r="F36" s="302">
        <f t="shared" si="3"/>
        <v>0.84074106010092775</v>
      </c>
      <c r="G36" s="311">
        <v>2493.448633</v>
      </c>
      <c r="H36" s="311">
        <v>3221.92173379</v>
      </c>
      <c r="I36" s="302">
        <f t="shared" si="4"/>
        <v>0.29215484576216655</v>
      </c>
      <c r="J36" s="311">
        <v>3512.2763303699999</v>
      </c>
      <c r="K36" s="311">
        <v>3556.7529971600002</v>
      </c>
      <c r="L36" s="311">
        <v>3600.3708072600002</v>
      </c>
      <c r="M36" s="312">
        <v>3732.85167981</v>
      </c>
      <c r="N36" t="str">
        <f t="shared" si="5"/>
        <v>DenmarkManufacture of chemicals and chemical products (C20)</v>
      </c>
      <c r="O36" s="11">
        <f>INDEX('Base de dados IHS'!$A$1:$V$676,MATCH($N36,'Base de dados IHS'!$C$1:$C$676,0),MATCH($O$1,'Base de dados IHS'!$A$1:$V$1,0))</f>
        <v>315318.76572541997</v>
      </c>
      <c r="P36" s="11">
        <f>INDEX('Base de dados IHS'!$A$1:$V$676,MATCH($N36,'Base de dados IHS'!$C$1:$C$676,0),MATCH($P$1,'Base de dados IHS'!$A$1:$V$1,0))</f>
        <v>361238.79673869</v>
      </c>
      <c r="Q36" s="131">
        <f>INDEX('Base de dados IHS'!$A$1:$V$676,MATCH($N36,'Base de dados IHS'!$C$1:$C$676,0),MATCH($Q$1,'Base de dados IHS'!$A$1:$V$1,0))</f>
        <v>7.9077077041818013E-3</v>
      </c>
      <c r="R36" s="131">
        <f>INDEX('Base de dados IHS'!$A$1:$V$676,MATCH($N36,'Base de dados IHS'!$C$1:$C$676,0),MATCH($R$1,'Base de dados IHS'!$A$1:$V$1,0))</f>
        <v>8.9190910912059305E-3</v>
      </c>
      <c r="S36" s="131">
        <f>INDEX('Base de dados IHS'!$A$1:$V$676,MATCH($N36,'Base de dados IHS'!$C$1:$C$676,0),MATCH($S$1,'Base de dados IHS'!$A$1:$V$1,0))</f>
        <v>1.0113833870241291E-3</v>
      </c>
      <c r="T36" t="str">
        <f>IF(Q36&lt;'Cenario A ranking setor PIB'!$G$30,"N","Y")</f>
        <v>N</v>
      </c>
    </row>
    <row r="37" spans="1:20" hidden="1" x14ac:dyDescent="0.45">
      <c r="A37" s="293" t="s">
        <v>111</v>
      </c>
      <c r="B37" s="297" t="s">
        <v>1</v>
      </c>
      <c r="C37" s="297" t="s">
        <v>958</v>
      </c>
      <c r="D37" s="311">
        <v>1090.72527193</v>
      </c>
      <c r="E37" s="311">
        <v>2194.7783701200001</v>
      </c>
      <c r="F37" s="302">
        <f t="shared" si="3"/>
        <v>1.0122192330213613</v>
      </c>
      <c r="G37" s="311">
        <v>1491.7850565000001</v>
      </c>
      <c r="H37" s="311">
        <v>2194.7783701200001</v>
      </c>
      <c r="I37" s="302">
        <f t="shared" si="4"/>
        <v>0.47124303233694431</v>
      </c>
      <c r="J37" s="311">
        <v>2234.3457165200002</v>
      </c>
      <c r="K37" s="311">
        <v>2357.5943806400001</v>
      </c>
      <c r="L37" s="311">
        <v>2416.2076270299999</v>
      </c>
      <c r="M37" s="312">
        <v>2441.4128961900001</v>
      </c>
      <c r="N37" t="str">
        <f t="shared" si="5"/>
        <v>Czech RepublicManufacture of chemicals and chemical products (C20)</v>
      </c>
      <c r="O37" s="11">
        <f>INDEX('Base de dados IHS'!$A$1:$V$676,MATCH($N37,'Base de dados IHS'!$C$1:$C$676,0),MATCH($O$1,'Base de dados IHS'!$A$1:$V$1,0))</f>
        <v>220291.04889604999</v>
      </c>
      <c r="P37" s="11">
        <f>INDEX('Base de dados IHS'!$A$1:$V$676,MATCH($N37,'Base de dados IHS'!$C$1:$C$676,0),MATCH($P$1,'Base de dados IHS'!$A$1:$V$1,0))</f>
        <v>247058.51905223</v>
      </c>
      <c r="Q37" s="131">
        <f>INDEX('Base de dados IHS'!$A$1:$V$676,MATCH($N37,'Base de dados IHS'!$C$1:$C$676,0),MATCH($Q$1,'Base de dados IHS'!$A$1:$V$1,0))</f>
        <v>6.7718823074102178E-3</v>
      </c>
      <c r="R37" s="131">
        <f>INDEX('Base de dados IHS'!$A$1:$V$676,MATCH($N37,'Base de dados IHS'!$C$1:$C$676,0),MATCH($R$1,'Base de dados IHS'!$A$1:$V$1,0))</f>
        <v>8.8836376844629583E-3</v>
      </c>
      <c r="S37" s="131">
        <f>INDEX('Base de dados IHS'!$A$1:$V$676,MATCH($N37,'Base de dados IHS'!$C$1:$C$676,0),MATCH($S$1,'Base de dados IHS'!$A$1:$V$1,0))</f>
        <v>2.1117553770527405E-3</v>
      </c>
      <c r="T37" t="str">
        <f>IF(Q37&lt;'Cenario A ranking setor PIB'!$G$30,"N","Y")</f>
        <v>N</v>
      </c>
    </row>
    <row r="38" spans="1:20" hidden="1" x14ac:dyDescent="0.45">
      <c r="A38" s="293" t="s">
        <v>159</v>
      </c>
      <c r="B38" s="297" t="s">
        <v>1</v>
      </c>
      <c r="C38" s="297" t="s">
        <v>958</v>
      </c>
      <c r="D38" s="311">
        <v>791.83548542999995</v>
      </c>
      <c r="E38" s="311">
        <v>1125.83563916</v>
      </c>
      <c r="F38" s="302">
        <f t="shared" si="3"/>
        <v>0.42180498332759608</v>
      </c>
      <c r="G38" s="311">
        <v>959.25315799999998</v>
      </c>
      <c r="H38" s="311">
        <v>1125.83563916</v>
      </c>
      <c r="I38" s="302">
        <f t="shared" si="4"/>
        <v>0.17365851732749782</v>
      </c>
      <c r="J38" s="311">
        <v>1233.2560462199999</v>
      </c>
      <c r="K38" s="311">
        <v>1294.5524193599999</v>
      </c>
      <c r="L38" s="311">
        <v>1309.2109533400001</v>
      </c>
      <c r="M38" s="312">
        <v>1348.86851376</v>
      </c>
      <c r="N38" t="str">
        <f t="shared" si="5"/>
        <v>KuwaitManufacture of chemicals and chemical products (C20)</v>
      </c>
      <c r="O38" s="11">
        <f>INDEX('Base de dados IHS'!$A$1:$V$676,MATCH($N38,'Base de dados IHS'!$C$1:$C$676,0),MATCH($O$1,'Base de dados IHS'!$A$1:$V$1,0))</f>
        <v>136318.13330372999</v>
      </c>
      <c r="P38" s="11">
        <f>INDEX('Base de dados IHS'!$A$1:$V$676,MATCH($N38,'Base de dados IHS'!$C$1:$C$676,0),MATCH($P$1,'Base de dados IHS'!$A$1:$V$1,0))</f>
        <v>128320.86664452001</v>
      </c>
      <c r="Q38" s="131">
        <f>INDEX('Base de dados IHS'!$A$1:$V$676,MATCH($N38,'Base de dados IHS'!$C$1:$C$676,0),MATCH($Q$1,'Base de dados IHS'!$A$1:$V$1,0))</f>
        <v>7.0368712859549733E-3</v>
      </c>
      <c r="R38" s="131">
        <f>INDEX('Base de dados IHS'!$A$1:$V$676,MATCH($N38,'Base de dados IHS'!$C$1:$C$676,0),MATCH($R$1,'Base de dados IHS'!$A$1:$V$1,0))</f>
        <v>8.7735975340537432E-3</v>
      </c>
      <c r="S38" s="131">
        <f>INDEX('Base de dados IHS'!$A$1:$V$676,MATCH($N38,'Base de dados IHS'!$C$1:$C$676,0),MATCH($S$1,'Base de dados IHS'!$A$1:$V$1,0))</f>
        <v>1.7367262480987699E-3</v>
      </c>
      <c r="T38" t="str">
        <f>IF(Q38&lt;'Cenario A ranking setor PIB'!$G$30,"N","Y")</f>
        <v>N</v>
      </c>
    </row>
    <row r="39" spans="1:20" hidden="1" x14ac:dyDescent="0.45">
      <c r="A39" s="293" t="s">
        <v>70</v>
      </c>
      <c r="B39" s="297" t="s">
        <v>1</v>
      </c>
      <c r="C39" s="297" t="s">
        <v>958</v>
      </c>
      <c r="D39" s="311">
        <v>17684.31559423</v>
      </c>
      <c r="E39" s="311">
        <v>25466.58932495</v>
      </c>
      <c r="F39" s="302">
        <f t="shared" si="3"/>
        <v>0.4400664356645605</v>
      </c>
      <c r="G39" s="311">
        <v>19307.589513949999</v>
      </c>
      <c r="H39" s="311">
        <v>25466.58932495</v>
      </c>
      <c r="I39" s="302">
        <f t="shared" si="4"/>
        <v>0.31899372039943352</v>
      </c>
      <c r="J39" s="311">
        <v>35593.130959180002</v>
      </c>
      <c r="K39" s="311">
        <v>43760.373467570003</v>
      </c>
      <c r="L39" s="311">
        <v>50277.793222549997</v>
      </c>
      <c r="M39" s="312">
        <v>67324.574290510005</v>
      </c>
      <c r="N39" t="str">
        <f t="shared" si="5"/>
        <v>IndiaManufacture of chemicals and chemical products (C20)</v>
      </c>
      <c r="O39" s="11">
        <f>INDEX('Base de dados IHS'!$A$1:$V$676,MATCH($N39,'Base de dados IHS'!$C$1:$C$676,0),MATCH($O$1,'Base de dados IHS'!$A$1:$V$1,0))</f>
        <v>2233583.9807687998</v>
      </c>
      <c r="P39" s="11">
        <f>INDEX('Base de dados IHS'!$A$1:$V$676,MATCH($N39,'Base de dados IHS'!$C$1:$C$676,0),MATCH($P$1,'Base de dados IHS'!$A$1:$V$1,0))</f>
        <v>2928405.219999</v>
      </c>
      <c r="Q39" s="131">
        <f>INDEX('Base de dados IHS'!$A$1:$V$676,MATCH($N39,'Base de dados IHS'!$C$1:$C$676,0),MATCH($Q$1,'Base de dados IHS'!$A$1:$V$1,0))</f>
        <v>8.644219192199043E-3</v>
      </c>
      <c r="R39" s="131">
        <f>INDEX('Base de dados IHS'!$A$1:$V$676,MATCH($N39,'Base de dados IHS'!$C$1:$C$676,0),MATCH($R$1,'Base de dados IHS'!$A$1:$V$1,0))</f>
        <v>8.696402106863713E-3</v>
      </c>
      <c r="S39" s="131">
        <f>INDEX('Base de dados IHS'!$A$1:$V$676,MATCH($N39,'Base de dados IHS'!$C$1:$C$676,0),MATCH($S$1,'Base de dados IHS'!$A$1:$V$1,0))</f>
        <v>5.2182914664669969E-5</v>
      </c>
      <c r="T39" t="str">
        <f>IF(Q39&lt;'Cenario A ranking setor PIB'!$G$30,"N","Y")</f>
        <v>N</v>
      </c>
    </row>
    <row r="40" spans="1:20" hidden="1" x14ac:dyDescent="0.45">
      <c r="A40" s="293" t="s">
        <v>97</v>
      </c>
      <c r="B40" s="297" t="s">
        <v>1</v>
      </c>
      <c r="C40" s="297" t="s">
        <v>958</v>
      </c>
      <c r="D40" s="311">
        <v>16256.82738909</v>
      </c>
      <c r="E40" s="311">
        <v>22875.268881330001</v>
      </c>
      <c r="F40" s="302">
        <f t="shared" si="3"/>
        <v>0.40711765794361909</v>
      </c>
      <c r="G40" s="311">
        <v>20642.107364650001</v>
      </c>
      <c r="H40" s="311">
        <v>22875.268881330001</v>
      </c>
      <c r="I40" s="302">
        <f t="shared" si="4"/>
        <v>0.10818476414401035</v>
      </c>
      <c r="J40" s="311">
        <v>22661.03167746</v>
      </c>
      <c r="K40" s="311">
        <v>23521.707065080001</v>
      </c>
      <c r="L40" s="311">
        <v>24341.762607879999</v>
      </c>
      <c r="M40" s="312">
        <v>26514.865352420002</v>
      </c>
      <c r="N40" t="str">
        <f t="shared" si="5"/>
        <v>FranceManufacture of chemicals and chemical products (C20)</v>
      </c>
      <c r="O40" s="11">
        <f>INDEX('Base de dados IHS'!$A$1:$V$676,MATCH($N40,'Base de dados IHS'!$C$1:$C$676,0),MATCH($O$1,'Base de dados IHS'!$A$1:$V$1,0))</f>
        <v>2544956.5086996001</v>
      </c>
      <c r="P40" s="11">
        <f>INDEX('Base de dados IHS'!$A$1:$V$676,MATCH($N40,'Base de dados IHS'!$C$1:$C$676,0),MATCH($P$1,'Base de dados IHS'!$A$1:$V$1,0))</f>
        <v>2682424.2983101001</v>
      </c>
      <c r="Q40" s="131">
        <f>INDEX('Base de dados IHS'!$A$1:$V$676,MATCH($N40,'Base de dados IHS'!$C$1:$C$676,0),MATCH($Q$1,'Base de dados IHS'!$A$1:$V$1,0))</f>
        <v>8.110986295478002E-3</v>
      </c>
      <c r="R40" s="131">
        <f>INDEX('Base de dados IHS'!$A$1:$V$676,MATCH($N40,'Base de dados IHS'!$C$1:$C$676,0),MATCH($R$1,'Base de dados IHS'!$A$1:$V$1,0))</f>
        <v>8.5278339059712462E-3</v>
      </c>
      <c r="S40" s="131">
        <f>INDEX('Base de dados IHS'!$A$1:$V$676,MATCH($N40,'Base de dados IHS'!$C$1:$C$676,0),MATCH($S$1,'Base de dados IHS'!$A$1:$V$1,0))</f>
        <v>4.168476104932442E-4</v>
      </c>
      <c r="T40" t="str">
        <f>IF(Q40&lt;'Cenario A ranking setor PIB'!$G$30,"N","Y")</f>
        <v>N</v>
      </c>
    </row>
    <row r="41" spans="1:20" hidden="1" x14ac:dyDescent="0.45">
      <c r="A41" s="293" t="s">
        <v>75</v>
      </c>
      <c r="B41" s="297" t="s">
        <v>1</v>
      </c>
      <c r="C41" s="297" t="s">
        <v>958</v>
      </c>
      <c r="D41" s="311">
        <v>12247.16622153</v>
      </c>
      <c r="E41" s="311">
        <v>10673.469207059999</v>
      </c>
      <c r="F41" s="302">
        <f t="shared" si="3"/>
        <v>-0.1284947869576154</v>
      </c>
      <c r="G41" s="311">
        <v>11752.45930903</v>
      </c>
      <c r="H41" s="311">
        <v>10673.469207059999</v>
      </c>
      <c r="I41" s="302">
        <f t="shared" si="4"/>
        <v>-9.1809728806374946E-2</v>
      </c>
      <c r="J41" s="311">
        <v>11093.91626935</v>
      </c>
      <c r="K41" s="311">
        <v>12154.61235571</v>
      </c>
      <c r="L41" s="311">
        <v>12992.04197172</v>
      </c>
      <c r="M41" s="312">
        <v>15076.25199266</v>
      </c>
      <c r="N41" t="str">
        <f t="shared" si="5"/>
        <v>MexicoManufacture of chemicals and chemical products (C20)</v>
      </c>
      <c r="O41" s="11">
        <f>INDEX('Base de dados IHS'!$A$1:$V$676,MATCH($N41,'Base de dados IHS'!$C$1:$C$676,0),MATCH($O$1,'Base de dados IHS'!$A$1:$V$1,0))</f>
        <v>1239119.2771185001</v>
      </c>
      <c r="P41" s="11">
        <f>INDEX('Base de dados IHS'!$A$1:$V$676,MATCH($N41,'Base de dados IHS'!$C$1:$C$676,0),MATCH($P$1,'Base de dados IHS'!$A$1:$V$1,0))</f>
        <v>1262038.2891611001</v>
      </c>
      <c r="Q41" s="131">
        <f>INDEX('Base de dados IHS'!$A$1:$V$676,MATCH($N41,'Base de dados IHS'!$C$1:$C$676,0),MATCH($Q$1,'Base de dados IHS'!$A$1:$V$1,0))</f>
        <v>9.4845262486430385E-3</v>
      </c>
      <c r="R41" s="131">
        <f>INDEX('Base de dados IHS'!$A$1:$V$676,MATCH($N41,'Base de dados IHS'!$C$1:$C$676,0),MATCH($R$1,'Base de dados IHS'!$A$1:$V$1,0))</f>
        <v>8.4573259771340611E-3</v>
      </c>
      <c r="S41" s="131">
        <f>INDEX('Base de dados IHS'!$A$1:$V$676,MATCH($N41,'Base de dados IHS'!$C$1:$C$676,0),MATCH($S$1,'Base de dados IHS'!$A$1:$V$1,0))</f>
        <v>-1.0272002715089774E-3</v>
      </c>
      <c r="T41" t="str">
        <f>IF(Q41&lt;'Cenario A ranking setor PIB'!$G$30,"N","Y")</f>
        <v>N</v>
      </c>
    </row>
    <row r="42" spans="1:20" hidden="1" x14ac:dyDescent="0.45">
      <c r="A42" s="293" t="s">
        <v>77</v>
      </c>
      <c r="B42" s="297" t="s">
        <v>1</v>
      </c>
      <c r="C42" s="297" t="s">
        <v>958</v>
      </c>
      <c r="D42" s="311">
        <v>11387.351345929999</v>
      </c>
      <c r="E42" s="311">
        <v>11016.94434417</v>
      </c>
      <c r="F42" s="302">
        <f t="shared" si="3"/>
        <v>-3.2527933011603061E-2</v>
      </c>
      <c r="G42" s="311">
        <v>9846.9682600399992</v>
      </c>
      <c r="H42" s="311">
        <v>11016.94434417</v>
      </c>
      <c r="I42" s="302">
        <f t="shared" si="4"/>
        <v>0.1188158683193774</v>
      </c>
      <c r="J42" s="311">
        <v>9887.5247493099996</v>
      </c>
      <c r="K42" s="311">
        <v>10419.047634779999</v>
      </c>
      <c r="L42" s="311">
        <v>10742.074534670001</v>
      </c>
      <c r="M42" s="312">
        <v>11444.652197089999</v>
      </c>
      <c r="N42" t="str">
        <f t="shared" si="5"/>
        <v>SpainManufacture of chemicals and chemical products (C20)</v>
      </c>
      <c r="O42" s="11">
        <f>INDEX('Base de dados IHS'!$A$1:$V$676,MATCH($N42,'Base de dados IHS'!$C$1:$C$676,0),MATCH($O$1,'Base de dados IHS'!$A$1:$V$1,0))</f>
        <v>1259732.1048611</v>
      </c>
      <c r="P42" s="11">
        <f>INDEX('Base de dados IHS'!$A$1:$V$676,MATCH($N42,'Base de dados IHS'!$C$1:$C$676,0),MATCH($P$1,'Base de dados IHS'!$A$1:$V$1,0))</f>
        <v>1317888.2673469</v>
      </c>
      <c r="Q42" s="131">
        <f>INDEX('Base de dados IHS'!$A$1:$V$676,MATCH($N42,'Base de dados IHS'!$C$1:$C$676,0),MATCH($Q$1,'Base de dados IHS'!$A$1:$V$1,0))</f>
        <v>7.8167161272163829E-3</v>
      </c>
      <c r="R42" s="131">
        <f>INDEX('Base de dados IHS'!$A$1:$V$676,MATCH($N42,'Base de dados IHS'!$C$1:$C$676,0),MATCH($R$1,'Base de dados IHS'!$A$1:$V$1,0))</f>
        <v>8.3595435342547712E-3</v>
      </c>
      <c r="S42" s="131">
        <f>INDEX('Base de dados IHS'!$A$1:$V$676,MATCH($N42,'Base de dados IHS'!$C$1:$C$676,0),MATCH($S$1,'Base de dados IHS'!$A$1:$V$1,0))</f>
        <v>5.428274070383883E-4</v>
      </c>
      <c r="T42" t="str">
        <f>IF(Q42&lt;'Cenario A ranking setor PIB'!$G$30,"N","Y")</f>
        <v>N</v>
      </c>
    </row>
    <row r="43" spans="1:20" hidden="1" x14ac:dyDescent="0.45">
      <c r="A43" s="293" t="s">
        <v>67</v>
      </c>
      <c r="B43" s="297" t="s">
        <v>1</v>
      </c>
      <c r="C43" s="297" t="s">
        <v>958</v>
      </c>
      <c r="D43" s="311">
        <v>4679.6909198499998</v>
      </c>
      <c r="E43" s="311">
        <v>6050.9496475599999</v>
      </c>
      <c r="F43" s="302">
        <f t="shared" si="3"/>
        <v>0.29302335372053889</v>
      </c>
      <c r="G43" s="311">
        <v>4926.9087473099999</v>
      </c>
      <c r="H43" s="311">
        <v>6050.9496475599999</v>
      </c>
      <c r="I43" s="302">
        <f t="shared" si="4"/>
        <v>0.22814323501804368</v>
      </c>
      <c r="J43" s="311">
        <v>6743.1875663600003</v>
      </c>
      <c r="K43" s="311">
        <v>6983.7846327099996</v>
      </c>
      <c r="L43" s="311">
        <v>7127.84786446</v>
      </c>
      <c r="M43" s="312">
        <v>7381.9928569499998</v>
      </c>
      <c r="N43" t="str">
        <f t="shared" si="5"/>
        <v>SwitzerlandManufacture of chemicals and chemical products (C20)</v>
      </c>
      <c r="O43" s="11">
        <f>INDEX('Base de dados IHS'!$A$1:$V$676,MATCH($N43,'Base de dados IHS'!$C$1:$C$676,0),MATCH($O$1,'Base de dados IHS'!$A$1:$V$1,0))</f>
        <v>669989.49931316997</v>
      </c>
      <c r="P43" s="11">
        <f>INDEX('Base de dados IHS'!$A$1:$V$676,MATCH($N43,'Base de dados IHS'!$C$1:$C$676,0),MATCH($P$1,'Base de dados IHS'!$A$1:$V$1,0))</f>
        <v>743458.79269773001</v>
      </c>
      <c r="Q43" s="131">
        <f>INDEX('Base de dados IHS'!$A$1:$V$676,MATCH($N43,'Base de dados IHS'!$C$1:$C$676,0),MATCH($Q$1,'Base de dados IHS'!$A$1:$V$1,0))</f>
        <v>7.3537103974924221E-3</v>
      </c>
      <c r="R43" s="131">
        <f>INDEX('Base de dados IHS'!$A$1:$V$676,MATCH($N43,'Base de dados IHS'!$C$1:$C$676,0),MATCH($R$1,'Base de dados IHS'!$A$1:$V$1,0))</f>
        <v>8.1389173239896709E-3</v>
      </c>
      <c r="S43" s="131">
        <f>INDEX('Base de dados IHS'!$A$1:$V$676,MATCH($N43,'Base de dados IHS'!$C$1:$C$676,0),MATCH($S$1,'Base de dados IHS'!$A$1:$V$1,0))</f>
        <v>7.8520692649724881E-4</v>
      </c>
      <c r="T43" t="str">
        <f>IF(Q43&lt;'Cenario A ranking setor PIB'!$G$30,"N","Y")</f>
        <v>N</v>
      </c>
    </row>
    <row r="44" spans="1:20" hidden="1" x14ac:dyDescent="0.45">
      <c r="A44" s="293" t="s">
        <v>147</v>
      </c>
      <c r="B44" s="297" t="s">
        <v>1</v>
      </c>
      <c r="C44" s="297" t="s">
        <v>958</v>
      </c>
      <c r="D44" s="311">
        <v>1308.7505564099999</v>
      </c>
      <c r="E44" s="311">
        <v>1902.0589202900001</v>
      </c>
      <c r="F44" s="302">
        <f t="shared" si="3"/>
        <v>0.4533395313370403</v>
      </c>
      <c r="G44" s="311">
        <v>1645.6191251499999</v>
      </c>
      <c r="H44" s="311">
        <v>1902.0589202900001</v>
      </c>
      <c r="I44" s="302">
        <f t="shared" si="4"/>
        <v>0.15583180288854837</v>
      </c>
      <c r="J44" s="311">
        <v>2240.99404469</v>
      </c>
      <c r="K44" s="311">
        <v>2661.2580246100001</v>
      </c>
      <c r="L44" s="311">
        <v>3029.61531079</v>
      </c>
      <c r="M44" s="312">
        <v>4065.5803713</v>
      </c>
      <c r="N44" t="str">
        <f t="shared" si="5"/>
        <v>PeruManufacture of chemicals and chemical products (C20)</v>
      </c>
      <c r="O44" s="11">
        <f>INDEX('Base de dados IHS'!$A$1:$V$676,MATCH($N44,'Base de dados IHS'!$C$1:$C$676,0),MATCH($O$1,'Base de dados IHS'!$A$1:$V$1,0))</f>
        <v>205342.67167914001</v>
      </c>
      <c r="P44" s="11">
        <f>INDEX('Base de dados IHS'!$A$1:$V$676,MATCH($N44,'Base de dados IHS'!$C$1:$C$676,0),MATCH($P$1,'Base de dados IHS'!$A$1:$V$1,0))</f>
        <v>235110.76142220001</v>
      </c>
      <c r="Q44" s="131">
        <f>INDEX('Base de dados IHS'!$A$1:$V$676,MATCH($N44,'Base de dados IHS'!$C$1:$C$676,0),MATCH($Q$1,'Base de dados IHS'!$A$1:$V$1,0))</f>
        <v>8.0140143872354814E-3</v>
      </c>
      <c r="R44" s="131">
        <f>INDEX('Base de dados IHS'!$A$1:$V$676,MATCH($N44,'Base de dados IHS'!$C$1:$C$676,0),MATCH($R$1,'Base de dados IHS'!$A$1:$V$1,0))</f>
        <v>8.0900546992588689E-3</v>
      </c>
      <c r="S44" s="131">
        <f>INDEX('Base de dados IHS'!$A$1:$V$676,MATCH($N44,'Base de dados IHS'!$C$1:$C$676,0),MATCH($S$1,'Base de dados IHS'!$A$1:$V$1,0))</f>
        <v>7.6040312023387471E-5</v>
      </c>
      <c r="T44" t="str">
        <f>IF(Q44&lt;'Cenario A ranking setor PIB'!$G$30,"N","Y")</f>
        <v>N</v>
      </c>
    </row>
    <row r="45" spans="1:20" hidden="1" x14ac:dyDescent="0.45">
      <c r="A45" s="293" t="s">
        <v>112</v>
      </c>
      <c r="B45" s="297" t="s">
        <v>1</v>
      </c>
      <c r="C45" s="297" t="s">
        <v>958</v>
      </c>
      <c r="D45" s="311">
        <v>3332.4643640499999</v>
      </c>
      <c r="E45" s="311">
        <v>4980.48347509</v>
      </c>
      <c r="F45" s="302">
        <f t="shared" si="3"/>
        <v>0.49453465393914509</v>
      </c>
      <c r="G45" s="311">
        <v>4253.1971468299998</v>
      </c>
      <c r="H45" s="311">
        <v>4980.48347509</v>
      </c>
      <c r="I45" s="302">
        <f t="shared" si="4"/>
        <v>0.17099755857827148</v>
      </c>
      <c r="J45" s="311">
        <v>5856.2186744199998</v>
      </c>
      <c r="K45" s="311">
        <v>6549.6426052699999</v>
      </c>
      <c r="L45" s="311">
        <v>6945.8504744100001</v>
      </c>
      <c r="M45" s="312">
        <v>7561.4158682899997</v>
      </c>
      <c r="N45" t="str">
        <f t="shared" si="5"/>
        <v>PolandManufacture of chemicals and chemical products (C20)</v>
      </c>
      <c r="O45" s="11">
        <f>INDEX('Base de dados IHS'!$A$1:$V$676,MATCH($N45,'Base de dados IHS'!$C$1:$C$676,0),MATCH($O$1,'Base de dados IHS'!$A$1:$V$1,0))</f>
        <v>496555.53410177003</v>
      </c>
      <c r="P45" s="11">
        <f>INDEX('Base de dados IHS'!$A$1:$V$676,MATCH($N45,'Base de dados IHS'!$C$1:$C$676,0),MATCH($P$1,'Base de dados IHS'!$A$1:$V$1,0))</f>
        <v>623108.57565016998</v>
      </c>
      <c r="Q45" s="131">
        <f>INDEX('Base de dados IHS'!$A$1:$V$676,MATCH($N45,'Base de dados IHS'!$C$1:$C$676,0),MATCH($Q$1,'Base de dados IHS'!$A$1:$V$1,0))</f>
        <v>8.5654007552724183E-3</v>
      </c>
      <c r="R45" s="131">
        <f>INDEX('Base de dados IHS'!$A$1:$V$676,MATCH($N45,'Base de dados IHS'!$C$1:$C$676,0),MATCH($R$1,'Base de dados IHS'!$A$1:$V$1,0))</f>
        <v>7.9929624943665973E-3</v>
      </c>
      <c r="S45" s="131">
        <f>INDEX('Base de dados IHS'!$A$1:$V$676,MATCH($N45,'Base de dados IHS'!$C$1:$C$676,0),MATCH($S$1,'Base de dados IHS'!$A$1:$V$1,0))</f>
        <v>-5.7243826090582102E-4</v>
      </c>
      <c r="T45" t="str">
        <f>IF(Q45&lt;'Cenario A ranking setor PIB'!$G$30,"N","Y")</f>
        <v>N</v>
      </c>
    </row>
    <row r="46" spans="1:20" hidden="1" x14ac:dyDescent="0.45">
      <c r="A46" s="293" t="s">
        <v>108</v>
      </c>
      <c r="B46" s="297" t="s">
        <v>1</v>
      </c>
      <c r="C46" s="297" t="s">
        <v>958</v>
      </c>
      <c r="D46" s="311">
        <v>3781.4844957800001</v>
      </c>
      <c r="E46" s="311">
        <v>6852.4137555099996</v>
      </c>
      <c r="F46" s="302">
        <f t="shared" si="3"/>
        <v>0.81209621860331449</v>
      </c>
      <c r="G46" s="311">
        <v>4564.8748603599997</v>
      </c>
      <c r="H46" s="311">
        <v>6852.4137555099996</v>
      </c>
      <c r="I46" s="302">
        <f t="shared" si="4"/>
        <v>0.50111754760558713</v>
      </c>
      <c r="J46" s="311">
        <v>7400.8099601000004</v>
      </c>
      <c r="K46" s="311">
        <v>8333.55713999</v>
      </c>
      <c r="L46" s="311">
        <v>9093.3319539599997</v>
      </c>
      <c r="M46" s="312">
        <v>11446.23325711</v>
      </c>
      <c r="N46" t="str">
        <f t="shared" si="5"/>
        <v>TurkeyManufacture of chemicals and chemical products (C20)</v>
      </c>
      <c r="O46" s="11">
        <f>INDEX('Base de dados IHS'!$A$1:$V$676,MATCH($N46,'Base de dados IHS'!$C$1:$C$676,0),MATCH($O$1,'Base de dados IHS'!$A$1:$V$1,0))</f>
        <v>659235.83503077005</v>
      </c>
      <c r="P46" s="11">
        <f>INDEX('Base de dados IHS'!$A$1:$V$676,MATCH($N46,'Base de dados IHS'!$C$1:$C$676,0),MATCH($P$1,'Base de dados IHS'!$A$1:$V$1,0))</f>
        <v>865088.75381619995</v>
      </c>
      <c r="Q46" s="131">
        <f>INDEX('Base de dados IHS'!$A$1:$V$676,MATCH($N46,'Base de dados IHS'!$C$1:$C$676,0),MATCH($Q$1,'Base de dados IHS'!$A$1:$V$1,0))</f>
        <v>6.924494418824991E-3</v>
      </c>
      <c r="R46" s="131">
        <f>INDEX('Base de dados IHS'!$A$1:$V$676,MATCH($N46,'Base de dados IHS'!$C$1:$C$676,0),MATCH($R$1,'Base de dados IHS'!$A$1:$V$1,0))</f>
        <v>7.9210528691786575E-3</v>
      </c>
      <c r="S46" s="131">
        <f>INDEX('Base de dados IHS'!$A$1:$V$676,MATCH($N46,'Base de dados IHS'!$C$1:$C$676,0),MATCH($S$1,'Base de dados IHS'!$A$1:$V$1,0))</f>
        <v>9.965584503536665E-4</v>
      </c>
      <c r="T46" t="str">
        <f>IF(Q46&lt;'Cenario A ranking setor PIB'!$G$30,"N","Y")</f>
        <v>N</v>
      </c>
    </row>
    <row r="47" spans="1:20" hidden="1" x14ac:dyDescent="0.45">
      <c r="A47" s="293" t="s">
        <v>74</v>
      </c>
      <c r="B47" s="297" t="s">
        <v>1</v>
      </c>
      <c r="C47" s="297" t="s">
        <v>958</v>
      </c>
      <c r="D47" s="311">
        <v>3597.2696227299998</v>
      </c>
      <c r="E47" s="311">
        <v>4302.1320997800003</v>
      </c>
      <c r="F47" s="302">
        <f t="shared" si="3"/>
        <v>0.19594374372057044</v>
      </c>
      <c r="G47" s="311">
        <v>3235.4004782699999</v>
      </c>
      <c r="H47" s="311">
        <v>4302.1320997800003</v>
      </c>
      <c r="I47" s="302">
        <f t="shared" si="4"/>
        <v>0.32970620752346314</v>
      </c>
      <c r="J47" s="311">
        <v>5159.3323950399999</v>
      </c>
      <c r="K47" s="311">
        <v>5327.0773331099999</v>
      </c>
      <c r="L47" s="311">
        <v>5431.3995743100004</v>
      </c>
      <c r="M47" s="312">
        <v>5918.3635219099997</v>
      </c>
      <c r="N47" t="str">
        <f t="shared" si="5"/>
        <v>SwedenManufacture of chemicals and chemical products (C20)</v>
      </c>
      <c r="O47" s="11">
        <f>INDEX('Base de dados IHS'!$A$1:$V$676,MATCH($N47,'Base de dados IHS'!$C$1:$C$676,0),MATCH($O$1,'Base de dados IHS'!$A$1:$V$1,0))</f>
        <v>490179.06760786998</v>
      </c>
      <c r="P47" s="11">
        <f>INDEX('Base de dados IHS'!$A$1:$V$676,MATCH($N47,'Base de dados IHS'!$C$1:$C$676,0),MATCH($P$1,'Base de dados IHS'!$A$1:$V$1,0))</f>
        <v>552840.30345001002</v>
      </c>
      <c r="Q47" s="131">
        <f>INDEX('Base de dados IHS'!$A$1:$V$676,MATCH($N47,'Base de dados IHS'!$C$1:$C$676,0),MATCH($Q$1,'Base de dados IHS'!$A$1:$V$1,0))</f>
        <v>6.6004460248764293E-3</v>
      </c>
      <c r="R47" s="131">
        <f>INDEX('Base de dados IHS'!$A$1:$V$676,MATCH($N47,'Base de dados IHS'!$C$1:$C$676,0),MATCH($R$1,'Base de dados IHS'!$A$1:$V$1,0))</f>
        <v>7.7818713160608339E-3</v>
      </c>
      <c r="S47" s="131">
        <f>INDEX('Base de dados IHS'!$A$1:$V$676,MATCH($N47,'Base de dados IHS'!$C$1:$C$676,0),MATCH($S$1,'Base de dados IHS'!$A$1:$V$1,0))</f>
        <v>1.1814252911844045E-3</v>
      </c>
      <c r="T47" t="str">
        <f>IF(Q47&lt;'Cenario A ranking setor PIB'!$G$30,"N","Y")</f>
        <v>N</v>
      </c>
    </row>
    <row r="48" spans="1:20" hidden="1" x14ac:dyDescent="0.45">
      <c r="A48" s="293" t="s">
        <v>148</v>
      </c>
      <c r="B48" s="297" t="s">
        <v>1</v>
      </c>
      <c r="C48" s="297" t="s">
        <v>958</v>
      </c>
      <c r="D48" s="311">
        <v>239.53698047</v>
      </c>
      <c r="E48" s="311">
        <v>282.78193317</v>
      </c>
      <c r="F48" s="302">
        <f t="shared" si="3"/>
        <v>0.18053560087109832</v>
      </c>
      <c r="G48" s="311">
        <v>250.75266342</v>
      </c>
      <c r="H48" s="311">
        <v>282.78193317</v>
      </c>
      <c r="I48" s="302">
        <f t="shared" si="4"/>
        <v>0.12773252061674945</v>
      </c>
      <c r="J48" s="311">
        <v>300.68777145000001</v>
      </c>
      <c r="K48" s="311">
        <v>316.60162081999999</v>
      </c>
      <c r="L48" s="311">
        <v>330.34138252000002</v>
      </c>
      <c r="M48" s="312">
        <v>359.19061297000002</v>
      </c>
      <c r="N48" t="str">
        <f t="shared" si="5"/>
        <v>BahrainManufacture of chemicals and chemical products (C20)</v>
      </c>
      <c r="O48" s="11">
        <f>INDEX('Base de dados IHS'!$A$1:$V$676,MATCH($N48,'Base de dados IHS'!$C$1:$C$676,0),MATCH($O$1,'Base de dados IHS'!$A$1:$V$1,0))</f>
        <v>33332.328188890002</v>
      </c>
      <c r="P48" s="11">
        <f>INDEX('Base de dados IHS'!$A$1:$V$676,MATCH($N48,'Base de dados IHS'!$C$1:$C$676,0),MATCH($P$1,'Base de dados IHS'!$A$1:$V$1,0))</f>
        <v>36767.801730239997</v>
      </c>
      <c r="Q48" s="131">
        <f>INDEX('Base de dados IHS'!$A$1:$V$676,MATCH($N48,'Base de dados IHS'!$C$1:$C$676,0),MATCH($Q$1,'Base de dados IHS'!$A$1:$V$1,0))</f>
        <v>7.5228067478220247E-3</v>
      </c>
      <c r="R48" s="131">
        <f>INDEX('Base de dados IHS'!$A$1:$V$676,MATCH($N48,'Base de dados IHS'!$C$1:$C$676,0),MATCH($R$1,'Base de dados IHS'!$A$1:$V$1,0))</f>
        <v>7.69102094394247E-3</v>
      </c>
      <c r="S48" s="131">
        <f>INDEX('Base de dados IHS'!$A$1:$V$676,MATCH($N48,'Base de dados IHS'!$C$1:$C$676,0),MATCH($S$1,'Base de dados IHS'!$A$1:$V$1,0))</f>
        <v>1.6821419612044527E-4</v>
      </c>
      <c r="T48" t="str">
        <f>IF(Q48&lt;'Cenario A ranking setor PIB'!$G$30,"N","Y")</f>
        <v>N</v>
      </c>
    </row>
    <row r="49" spans="1:20" hidden="1" x14ac:dyDescent="0.45">
      <c r="A49" s="293" t="s">
        <v>145</v>
      </c>
      <c r="B49" s="297" t="s">
        <v>1</v>
      </c>
      <c r="C49" s="297" t="s">
        <v>958</v>
      </c>
      <c r="D49" s="311">
        <v>2872.0300468</v>
      </c>
      <c r="E49" s="311">
        <v>2845.4852590599999</v>
      </c>
      <c r="F49" s="302">
        <f t="shared" si="3"/>
        <v>-9.2425174205876814E-3</v>
      </c>
      <c r="G49" s="311">
        <v>3247.0641539799999</v>
      </c>
      <c r="H49" s="311">
        <v>2845.4852590599999</v>
      </c>
      <c r="I49" s="302">
        <f t="shared" si="4"/>
        <v>-0.12367445664040111</v>
      </c>
      <c r="J49" s="311">
        <v>2902.0535153800001</v>
      </c>
      <c r="K49" s="311">
        <v>3101.22075984</v>
      </c>
      <c r="L49" s="311">
        <v>3287.3827628200002</v>
      </c>
      <c r="M49" s="312">
        <v>3733.2539940800002</v>
      </c>
      <c r="N49" t="str">
        <f t="shared" si="5"/>
        <v>South AfricaManufacture of chemicals and chemical products (C20)</v>
      </c>
      <c r="O49" s="11">
        <f>INDEX('Base de dados IHS'!$A$1:$V$676,MATCH($N49,'Base de dados IHS'!$C$1:$C$676,0),MATCH($O$1,'Base de dados IHS'!$A$1:$V$1,0))</f>
        <v>375376.48654821003</v>
      </c>
      <c r="P49" s="11">
        <f>INDEX('Base de dados IHS'!$A$1:$V$676,MATCH($N49,'Base de dados IHS'!$C$1:$C$676,0),MATCH($P$1,'Base de dados IHS'!$A$1:$V$1,0))</f>
        <v>383209.69906191999</v>
      </c>
      <c r="Q49" s="131">
        <f>INDEX('Base de dados IHS'!$A$1:$V$676,MATCH($N49,'Base de dados IHS'!$C$1:$C$676,0),MATCH($Q$1,'Base de dados IHS'!$A$1:$V$1,0))</f>
        <v>8.6501533003265924E-3</v>
      </c>
      <c r="R49" s="131">
        <f>INDEX('Base de dados IHS'!$A$1:$V$676,MATCH($N49,'Base de dados IHS'!$C$1:$C$676,0),MATCH($R$1,'Base de dados IHS'!$A$1:$V$1,0))</f>
        <v>7.4253998946937384E-3</v>
      </c>
      <c r="S49" s="131">
        <f>INDEX('Base de dados IHS'!$A$1:$V$676,MATCH($N49,'Base de dados IHS'!$C$1:$C$676,0),MATCH($S$1,'Base de dados IHS'!$A$1:$V$1,0))</f>
        <v>-1.224753405632854E-3</v>
      </c>
      <c r="T49" t="str">
        <f>IF(Q49&lt;'Cenario A ranking setor PIB'!$G$30,"N","Y")</f>
        <v>N</v>
      </c>
    </row>
    <row r="50" spans="1:20" hidden="1" x14ac:dyDescent="0.45">
      <c r="A50" s="293" t="s">
        <v>149</v>
      </c>
      <c r="B50" s="297" t="s">
        <v>1</v>
      </c>
      <c r="C50" s="297" t="s">
        <v>958</v>
      </c>
      <c r="D50" s="311">
        <v>1274.56030472</v>
      </c>
      <c r="E50" s="311">
        <v>1127.8772156</v>
      </c>
      <c r="F50" s="302">
        <f t="shared" si="3"/>
        <v>-0.1150852482827196</v>
      </c>
      <c r="G50" s="311">
        <v>919.27952550999998</v>
      </c>
      <c r="H50" s="311">
        <v>1127.8772156</v>
      </c>
      <c r="I50" s="302">
        <f t="shared" si="4"/>
        <v>0.22691432181552584</v>
      </c>
      <c r="J50" s="311">
        <v>729.5552351</v>
      </c>
      <c r="K50" s="311">
        <v>905.06943782999997</v>
      </c>
      <c r="L50" s="311">
        <v>1175.1838071300001</v>
      </c>
      <c r="M50" s="312">
        <v>1990.3677172499999</v>
      </c>
      <c r="N50" t="str">
        <f t="shared" si="5"/>
        <v>UkraineManufacture of chemicals and chemical products (C20)</v>
      </c>
      <c r="O50" s="11">
        <f>INDEX('Base de dados IHS'!$A$1:$V$676,MATCH($N50,'Base de dados IHS'!$C$1:$C$676,0),MATCH($O$1,'Base de dados IHS'!$A$1:$V$1,0))</f>
        <v>137743.94890503999</v>
      </c>
      <c r="P50" s="11">
        <f>INDEX('Base de dados IHS'!$A$1:$V$676,MATCH($N50,'Base de dados IHS'!$C$1:$C$676,0),MATCH($P$1,'Base de dados IHS'!$A$1:$V$1,0))</f>
        <v>153275.23415388001</v>
      </c>
      <c r="Q50" s="131">
        <f>INDEX('Base de dados IHS'!$A$1:$V$676,MATCH($N50,'Base de dados IHS'!$C$1:$C$676,0),MATCH($Q$1,'Base de dados IHS'!$A$1:$V$1,0))</f>
        <v>6.6738287439671619E-3</v>
      </c>
      <c r="R50" s="131">
        <f>INDEX('Base de dados IHS'!$A$1:$V$676,MATCH($N50,'Base de dados IHS'!$C$1:$C$676,0),MATCH($R$1,'Base de dados IHS'!$A$1:$V$1,0))</f>
        <v>7.358509167030027E-3</v>
      </c>
      <c r="S50" s="131">
        <f>INDEX('Base de dados IHS'!$A$1:$V$676,MATCH($N50,'Base de dados IHS'!$C$1:$C$676,0),MATCH($S$1,'Base de dados IHS'!$A$1:$V$1,0))</f>
        <v>6.8468042306286513E-4</v>
      </c>
      <c r="T50" t="str">
        <f>IF(Q50&lt;'Cenario A ranking setor PIB'!$G$30,"N","Y")</f>
        <v>N</v>
      </c>
    </row>
    <row r="51" spans="1:20" hidden="1" x14ac:dyDescent="0.45">
      <c r="A51" s="293" t="s">
        <v>63</v>
      </c>
      <c r="B51" s="297" t="s">
        <v>1</v>
      </c>
      <c r="C51" s="297" t="s">
        <v>958</v>
      </c>
      <c r="D51" s="311">
        <v>9724.7726268799997</v>
      </c>
      <c r="E51" s="311">
        <v>12708.496352390001</v>
      </c>
      <c r="F51" s="302">
        <f t="shared" si="3"/>
        <v>0.30681681104427727</v>
      </c>
      <c r="G51" s="311">
        <v>10677.52905868</v>
      </c>
      <c r="H51" s="311">
        <v>12708.496352390001</v>
      </c>
      <c r="I51" s="302">
        <f t="shared" si="4"/>
        <v>0.19020948409959915</v>
      </c>
      <c r="J51" s="311">
        <v>12082.514871769999</v>
      </c>
      <c r="K51" s="311">
        <v>12554.082763</v>
      </c>
      <c r="L51" s="311">
        <v>12870.20078318</v>
      </c>
      <c r="M51" s="312">
        <v>13909.764164</v>
      </c>
      <c r="N51" t="str">
        <f t="shared" si="5"/>
        <v>CanadaManufacture of chemicals and chemical products (C20)</v>
      </c>
      <c r="O51" s="11">
        <f>INDEX('Base de dados IHS'!$A$1:$V$676,MATCH($N51,'Base de dados IHS'!$C$1:$C$676,0),MATCH($O$1,'Base de dados IHS'!$A$1:$V$1,0))</f>
        <v>1599989.9756132001</v>
      </c>
      <c r="P51" s="11">
        <f>INDEX('Base de dados IHS'!$A$1:$V$676,MATCH($N51,'Base de dados IHS'!$C$1:$C$676,0),MATCH($P$1,'Base de dados IHS'!$A$1:$V$1,0))</f>
        <v>1743385.5162593001</v>
      </c>
      <c r="Q51" s="131">
        <f>INDEX('Base de dados IHS'!$A$1:$V$676,MATCH($N51,'Base de dados IHS'!$C$1:$C$676,0),MATCH($Q$1,'Base de dados IHS'!$A$1:$V$1,0))</f>
        <v>6.6734974727499846E-3</v>
      </c>
      <c r="R51" s="131">
        <f>INDEX('Base de dados IHS'!$A$1:$V$676,MATCH($N51,'Base de dados IHS'!$C$1:$C$676,0),MATCH($R$1,'Base de dados IHS'!$A$1:$V$1,0))</f>
        <v>7.2895502651978096E-3</v>
      </c>
      <c r="S51" s="131">
        <f>INDEX('Base de dados IHS'!$A$1:$V$676,MATCH($N51,'Base de dados IHS'!$C$1:$C$676,0),MATCH($S$1,'Base de dados IHS'!$A$1:$V$1,0))</f>
        <v>6.1605279244782499E-4</v>
      </c>
      <c r="T51" t="str">
        <f>IF(Q51&lt;'Cenario A ranking setor PIB'!$G$30,"N","Y")</f>
        <v>N</v>
      </c>
    </row>
    <row r="52" spans="1:20" hidden="1" x14ac:dyDescent="0.45">
      <c r="A52" s="293" t="s">
        <v>72</v>
      </c>
      <c r="B52" s="297" t="s">
        <v>1</v>
      </c>
      <c r="C52" s="297" t="s">
        <v>958</v>
      </c>
      <c r="D52" s="311">
        <v>2327.7454847899999</v>
      </c>
      <c r="E52" s="311">
        <v>3149.9905820700001</v>
      </c>
      <c r="F52" s="302">
        <f t="shared" si="3"/>
        <v>0.35323668444541312</v>
      </c>
      <c r="G52" s="311">
        <v>2669.5046905999998</v>
      </c>
      <c r="H52" s="311">
        <v>3149.9905820700001</v>
      </c>
      <c r="I52" s="302">
        <f t="shared" si="4"/>
        <v>0.17999065263376846</v>
      </c>
      <c r="J52" s="311">
        <v>2927.3498078900002</v>
      </c>
      <c r="K52" s="311">
        <v>3164.4186828799998</v>
      </c>
      <c r="L52" s="311">
        <v>3351.30399549</v>
      </c>
      <c r="M52" s="312">
        <v>3797.02570612</v>
      </c>
      <c r="N52" t="str">
        <f t="shared" si="5"/>
        <v>AustriaManufacture of chemicals and chemical products (C20)</v>
      </c>
      <c r="O52" s="11">
        <f>INDEX('Base de dados IHS'!$A$1:$V$676,MATCH($N52,'Base de dados IHS'!$C$1:$C$676,0),MATCH($O$1,'Base de dados IHS'!$A$1:$V$1,0))</f>
        <v>410010.85265116999</v>
      </c>
      <c r="P52" s="11">
        <f>INDEX('Base de dados IHS'!$A$1:$V$676,MATCH($N52,'Base de dados IHS'!$C$1:$C$676,0),MATCH($P$1,'Base de dados IHS'!$A$1:$V$1,0))</f>
        <v>432694.04992214998</v>
      </c>
      <c r="Q52" s="131">
        <f>INDEX('Base de dados IHS'!$A$1:$V$676,MATCH($N52,'Base de dados IHS'!$C$1:$C$676,0),MATCH($Q$1,'Base de dados IHS'!$A$1:$V$1,0))</f>
        <v>6.5108147097539572E-3</v>
      </c>
      <c r="R52" s="131">
        <f>INDEX('Base de dados IHS'!$A$1:$V$676,MATCH($N52,'Base de dados IHS'!$C$1:$C$676,0),MATCH($R$1,'Base de dados IHS'!$A$1:$V$1,0))</f>
        <v>7.2799489214994849E-3</v>
      </c>
      <c r="S52" s="131">
        <f>INDEX('Base de dados IHS'!$A$1:$V$676,MATCH($N52,'Base de dados IHS'!$C$1:$C$676,0),MATCH($S$1,'Base de dados IHS'!$A$1:$V$1,0))</f>
        <v>7.6913421174552767E-4</v>
      </c>
      <c r="T52" t="str">
        <f>IF(Q52&lt;'Cenario A ranking setor PIB'!$G$30,"N","Y")</f>
        <v>N</v>
      </c>
    </row>
    <row r="53" spans="1:20" hidden="1" x14ac:dyDescent="0.45">
      <c r="A53" s="293" t="s">
        <v>157</v>
      </c>
      <c r="B53" s="297" t="s">
        <v>1</v>
      </c>
      <c r="C53" s="297" t="s">
        <v>958</v>
      </c>
      <c r="D53" s="311">
        <v>795.65210019999995</v>
      </c>
      <c r="E53" s="311">
        <v>762.73089918999995</v>
      </c>
      <c r="F53" s="302">
        <f t="shared" si="3"/>
        <v>-4.1376376687404903E-2</v>
      </c>
      <c r="G53" s="311">
        <v>671.01844461999997</v>
      </c>
      <c r="H53" s="311">
        <v>762.73089918999995</v>
      </c>
      <c r="I53" s="302">
        <f t="shared" si="4"/>
        <v>0.13667650316518065</v>
      </c>
      <c r="J53" s="311">
        <v>705.54315649</v>
      </c>
      <c r="K53" s="311">
        <v>734.16643247000002</v>
      </c>
      <c r="L53" s="311">
        <v>755.88720283999999</v>
      </c>
      <c r="M53" s="312">
        <v>845.92338572999995</v>
      </c>
      <c r="N53" t="str">
        <f t="shared" si="5"/>
        <v>SlovakiaManufacture of chemicals and chemical products (C20)</v>
      </c>
      <c r="O53" s="11">
        <f>INDEX('Base de dados IHS'!$A$1:$V$676,MATCH($N53,'Base de dados IHS'!$C$1:$C$676,0),MATCH($O$1,'Base de dados IHS'!$A$1:$V$1,0))</f>
        <v>94460.171576160006</v>
      </c>
      <c r="P53" s="11">
        <f>INDEX('Base de dados IHS'!$A$1:$V$676,MATCH($N53,'Base de dados IHS'!$C$1:$C$676,0),MATCH($P$1,'Base de dados IHS'!$A$1:$V$1,0))</f>
        <v>107076.6714533</v>
      </c>
      <c r="Q53" s="131">
        <f>INDEX('Base de dados IHS'!$A$1:$V$676,MATCH($N53,'Base de dados IHS'!$C$1:$C$676,0),MATCH($Q$1,'Base de dados IHS'!$A$1:$V$1,0))</f>
        <v>7.1037182489021916E-3</v>
      </c>
      <c r="R53" s="131">
        <f>INDEX('Base de dados IHS'!$A$1:$V$676,MATCH($N53,'Base de dados IHS'!$C$1:$C$676,0),MATCH($R$1,'Base de dados IHS'!$A$1:$V$1,0))</f>
        <v>7.1232219757844679E-3</v>
      </c>
      <c r="S53" s="131">
        <f>INDEX('Base de dados IHS'!$A$1:$V$676,MATCH($N53,'Base de dados IHS'!$C$1:$C$676,0),MATCH($S$1,'Base de dados IHS'!$A$1:$V$1,0))</f>
        <v>1.95037268822763E-5</v>
      </c>
      <c r="T53" t="str">
        <f>IF(Q53&lt;'Cenario A ranking setor PIB'!$G$30,"N","Y")</f>
        <v>N</v>
      </c>
    </row>
    <row r="54" spans="1:20" hidden="1" x14ac:dyDescent="0.45">
      <c r="A54" s="293" t="s">
        <v>178</v>
      </c>
      <c r="B54" s="297" t="s">
        <v>1</v>
      </c>
      <c r="C54" s="297" t="s">
        <v>958</v>
      </c>
      <c r="D54" s="311">
        <v>114.95056094</v>
      </c>
      <c r="E54" s="311">
        <v>173.98316983000001</v>
      </c>
      <c r="F54" s="302">
        <f t="shared" si="3"/>
        <v>0.51354781053058862</v>
      </c>
      <c r="G54" s="311">
        <v>127.52850709000001</v>
      </c>
      <c r="H54" s="311">
        <v>173.98316983000001</v>
      </c>
      <c r="I54" s="302">
        <f t="shared" si="4"/>
        <v>0.36426885094181971</v>
      </c>
      <c r="J54" s="311">
        <v>213.63503659</v>
      </c>
      <c r="K54" s="311">
        <v>247.03306978000001</v>
      </c>
      <c r="L54" s="311">
        <v>274.86254805999999</v>
      </c>
      <c r="M54" s="312">
        <v>352.36766461000002</v>
      </c>
      <c r="N54" t="str">
        <f t="shared" si="5"/>
        <v>SenegalManufacture of chemicals and chemical products (C20)</v>
      </c>
      <c r="O54" s="11">
        <f>INDEX('Base de dados IHS'!$A$1:$V$676,MATCH($N54,'Base de dados IHS'!$C$1:$C$676,0),MATCH($O$1,'Base de dados IHS'!$A$1:$V$1,0))</f>
        <v>18437.455260710001</v>
      </c>
      <c r="P54" s="11">
        <f>INDEX('Base de dados IHS'!$A$1:$V$676,MATCH($N54,'Base de dados IHS'!$C$1:$C$676,0),MATCH($P$1,'Base de dados IHS'!$A$1:$V$1,0))</f>
        <v>25150.80803964</v>
      </c>
      <c r="Q54" s="131">
        <f>INDEX('Base de dados IHS'!$A$1:$V$676,MATCH($N54,'Base de dados IHS'!$C$1:$C$676,0),MATCH($Q$1,'Base de dados IHS'!$A$1:$V$1,0))</f>
        <v>6.9168171684604301E-3</v>
      </c>
      <c r="R54" s="131">
        <f>INDEX('Base de dados IHS'!$A$1:$V$676,MATCH($N54,'Base de dados IHS'!$C$1:$C$676,0),MATCH($R$1,'Base de dados IHS'!$A$1:$V$1,0))</f>
        <v>6.9175976197578398E-3</v>
      </c>
      <c r="S54" s="131">
        <f>INDEX('Base de dados IHS'!$A$1:$V$676,MATCH($N54,'Base de dados IHS'!$C$1:$C$676,0),MATCH($S$1,'Base de dados IHS'!$A$1:$V$1,0))</f>
        <v>7.8045129740973718E-7</v>
      </c>
      <c r="T54" t="str">
        <f>IF(Q54&lt;'Cenario A ranking setor PIB'!$G$30,"N","Y")</f>
        <v>N</v>
      </c>
    </row>
    <row r="55" spans="1:20" hidden="1" x14ac:dyDescent="0.45">
      <c r="A55" s="293" t="s">
        <v>160</v>
      </c>
      <c r="B55" s="297" t="s">
        <v>1</v>
      </c>
      <c r="C55" s="297" t="s">
        <v>958</v>
      </c>
      <c r="D55" s="311">
        <v>428.48834068000002</v>
      </c>
      <c r="E55" s="311">
        <v>486.05174965999998</v>
      </c>
      <c r="F55" s="302">
        <f t="shared" si="3"/>
        <v>0.13434066581286275</v>
      </c>
      <c r="G55" s="311">
        <v>414.00092422</v>
      </c>
      <c r="H55" s="311">
        <v>486.05174965999998</v>
      </c>
      <c r="I55" s="302">
        <f t="shared" si="4"/>
        <v>0.17403542172218001</v>
      </c>
      <c r="J55" s="311">
        <v>455.24237177999998</v>
      </c>
      <c r="K55" s="311">
        <v>468.15919923000001</v>
      </c>
      <c r="L55" s="311">
        <v>471.72919924000001</v>
      </c>
      <c r="M55" s="312">
        <v>475.39818430000003</v>
      </c>
      <c r="N55" t="str">
        <f t="shared" si="5"/>
        <v>BulgariaManufacture of chemicals and chemical products (C20)</v>
      </c>
      <c r="O55" s="11">
        <f>INDEX('Base de dados IHS'!$A$1:$V$676,MATCH($N55,'Base de dados IHS'!$C$1:$C$676,0),MATCH($O$1,'Base de dados IHS'!$A$1:$V$1,0))</f>
        <v>60854.013563</v>
      </c>
      <c r="P55" s="11">
        <f>INDEX('Base de dados IHS'!$A$1:$V$676,MATCH($N55,'Base de dados IHS'!$C$1:$C$676,0),MATCH($P$1,'Base de dados IHS'!$A$1:$V$1,0))</f>
        <v>70836.911882080007</v>
      </c>
      <c r="Q55" s="131">
        <f>INDEX('Base de dados IHS'!$A$1:$V$676,MATCH($N55,'Base de dados IHS'!$C$1:$C$676,0),MATCH($Q$1,'Base de dados IHS'!$A$1:$V$1,0))</f>
        <v>6.8031819099556934E-3</v>
      </c>
      <c r="R55" s="131">
        <f>INDEX('Base de dados IHS'!$A$1:$V$676,MATCH($N55,'Base de dados IHS'!$C$1:$C$676,0),MATCH($R$1,'Base de dados IHS'!$A$1:$V$1,0))</f>
        <v>6.8615604032699106E-3</v>
      </c>
      <c r="S55" s="131">
        <f>INDEX('Base de dados IHS'!$A$1:$V$676,MATCH($N55,'Base de dados IHS'!$C$1:$C$676,0),MATCH($S$1,'Base de dados IHS'!$A$1:$V$1,0))</f>
        <v>5.8378493314217156E-5</v>
      </c>
      <c r="T55" t="str">
        <f>IF(Q55&lt;'Cenario A ranking setor PIB'!$G$30,"N","Y")</f>
        <v>N</v>
      </c>
    </row>
    <row r="56" spans="1:20" hidden="1" x14ac:dyDescent="0.45">
      <c r="A56" s="293" t="s">
        <v>101</v>
      </c>
      <c r="B56" s="297" t="s">
        <v>1</v>
      </c>
      <c r="C56" s="297" t="s">
        <v>958</v>
      </c>
      <c r="D56" s="311">
        <v>12295.35332407</v>
      </c>
      <c r="E56" s="311">
        <v>13296.67774617</v>
      </c>
      <c r="F56" s="302">
        <f t="shared" si="3"/>
        <v>8.1439255603965144E-2</v>
      </c>
      <c r="G56" s="311">
        <v>12682.800951949999</v>
      </c>
      <c r="H56" s="311">
        <v>13296.67774617</v>
      </c>
      <c r="I56" s="302">
        <f t="shared" si="4"/>
        <v>4.8402304549738817E-2</v>
      </c>
      <c r="J56" s="311">
        <v>12211.386628079999</v>
      </c>
      <c r="K56" s="311">
        <v>12669.356478969999</v>
      </c>
      <c r="L56" s="311">
        <v>13060.611179130001</v>
      </c>
      <c r="M56" s="312">
        <v>13869.71167613</v>
      </c>
      <c r="N56" t="str">
        <f t="shared" si="5"/>
        <v>ItalyManufacture of chemicals and chemical products (C20)</v>
      </c>
      <c r="O56" s="11">
        <f>INDEX('Base de dados IHS'!$A$1:$V$676,MATCH($N56,'Base de dados IHS'!$C$1:$C$676,0),MATCH($O$1,'Base de dados IHS'!$A$1:$V$1,0))</f>
        <v>1924364.2462229</v>
      </c>
      <c r="P56" s="11">
        <f>INDEX('Base de dados IHS'!$A$1:$V$676,MATCH($N56,'Base de dados IHS'!$C$1:$C$676,0),MATCH($P$1,'Base de dados IHS'!$A$1:$V$1,0))</f>
        <v>1980878.3634254001</v>
      </c>
      <c r="Q56" s="131">
        <f>INDEX('Base de dados IHS'!$A$1:$V$676,MATCH($N56,'Base de dados IHS'!$C$1:$C$676,0),MATCH($Q$1,'Base de dados IHS'!$A$1:$V$1,0))</f>
        <v>6.5906446645137597E-3</v>
      </c>
      <c r="R56" s="131">
        <f>INDEX('Base de dados IHS'!$A$1:$V$676,MATCH($N56,'Base de dados IHS'!$C$1:$C$676,0),MATCH($R$1,'Base de dados IHS'!$A$1:$V$1,0))</f>
        <v>6.7125160189931837E-3</v>
      </c>
      <c r="S56" s="131">
        <f>INDEX('Base de dados IHS'!$A$1:$V$676,MATCH($N56,'Base de dados IHS'!$C$1:$C$676,0),MATCH($S$1,'Base de dados IHS'!$A$1:$V$1,0))</f>
        <v>1.2187135447942407E-4</v>
      </c>
      <c r="T56" t="str">
        <f>IF(Q56&lt;'Cenario A ranking setor PIB'!$G$30,"N","Y")</f>
        <v>N</v>
      </c>
    </row>
    <row r="57" spans="1:20" hidden="1" x14ac:dyDescent="0.45">
      <c r="A57" s="293" t="s">
        <v>172</v>
      </c>
      <c r="B57" s="297" t="s">
        <v>1</v>
      </c>
      <c r="C57" s="297" t="s">
        <v>958</v>
      </c>
      <c r="D57" s="311">
        <v>255.10695455999999</v>
      </c>
      <c r="E57" s="311">
        <v>397.42126954999998</v>
      </c>
      <c r="F57" s="302">
        <f t="shared" si="3"/>
        <v>0.55786136930472541</v>
      </c>
      <c r="G57" s="311">
        <v>364.15505723000001</v>
      </c>
      <c r="H57" s="311">
        <v>397.42126954999998</v>
      </c>
      <c r="I57" s="302">
        <f t="shared" si="4"/>
        <v>9.1351779027989854E-2</v>
      </c>
      <c r="J57" s="311">
        <v>407.34708519999998</v>
      </c>
      <c r="K57" s="311">
        <v>451.78554831000002</v>
      </c>
      <c r="L57" s="311">
        <v>484.97799036999999</v>
      </c>
      <c r="M57" s="312">
        <v>560.50846589000002</v>
      </c>
      <c r="N57" t="str">
        <f t="shared" si="5"/>
        <v>UruguayManufacture of chemicals and chemical products (C20)</v>
      </c>
      <c r="O57" s="11">
        <f>INDEX('Base de dados IHS'!$A$1:$V$676,MATCH($N57,'Base de dados IHS'!$C$1:$C$676,0),MATCH($O$1,'Base de dados IHS'!$A$1:$V$1,0))</f>
        <v>59449.563607900003</v>
      </c>
      <c r="P57" s="11">
        <f>INDEX('Base de dados IHS'!$A$1:$V$676,MATCH($N57,'Base de dados IHS'!$C$1:$C$676,0),MATCH($P$1,'Base de dados IHS'!$A$1:$V$1,0))</f>
        <v>61243.536031950003</v>
      </c>
      <c r="Q57" s="131">
        <f>INDEX('Base de dados IHS'!$A$1:$V$676,MATCH($N57,'Base de dados IHS'!$C$1:$C$676,0),MATCH($Q$1,'Base de dados IHS'!$A$1:$V$1,0))</f>
        <v>6.1254454217996813E-3</v>
      </c>
      <c r="R57" s="131">
        <f>INDEX('Base de dados IHS'!$A$1:$V$676,MATCH($N57,'Base de dados IHS'!$C$1:$C$676,0),MATCH($R$1,'Base de dados IHS'!$A$1:$V$1,0))</f>
        <v>6.4891953551256439E-3</v>
      </c>
      <c r="S57" s="131">
        <f>INDEX('Base de dados IHS'!$A$1:$V$676,MATCH($N57,'Base de dados IHS'!$C$1:$C$676,0),MATCH($S$1,'Base de dados IHS'!$A$1:$V$1,0))</f>
        <v>3.6374993332596254E-4</v>
      </c>
      <c r="T57" t="str">
        <f>IF(Q57&lt;'Cenario A ranking setor PIB'!$G$30,"N","Y")</f>
        <v>N</v>
      </c>
    </row>
    <row r="58" spans="1:20" hidden="1" x14ac:dyDescent="0.45">
      <c r="A58" s="293" t="s">
        <v>150</v>
      </c>
      <c r="B58" s="297" t="s">
        <v>1</v>
      </c>
      <c r="C58" s="297" t="s">
        <v>958</v>
      </c>
      <c r="D58" s="311">
        <v>1207.3344990799999</v>
      </c>
      <c r="E58" s="311">
        <v>2306.7731951400001</v>
      </c>
      <c r="F58" s="302">
        <f t="shared" si="3"/>
        <v>0.91063304899991082</v>
      </c>
      <c r="G58" s="311">
        <v>1697.8821600399999</v>
      </c>
      <c r="H58" s="311">
        <v>2306.7731951400001</v>
      </c>
      <c r="I58" s="302">
        <f t="shared" si="4"/>
        <v>0.35861795914367556</v>
      </c>
      <c r="J58" s="311">
        <v>3434.41118099</v>
      </c>
      <c r="K58" s="311">
        <v>3924.4360111199999</v>
      </c>
      <c r="L58" s="311">
        <v>4282.9426258900003</v>
      </c>
      <c r="M58" s="312">
        <v>5125.8645397999999</v>
      </c>
      <c r="N58" t="str">
        <f t="shared" si="5"/>
        <v>PhilippinesManufacture of chemicals and chemical products (C20)</v>
      </c>
      <c r="O58" s="11">
        <f>INDEX('Base de dados IHS'!$A$1:$V$676,MATCH($N58,'Base de dados IHS'!$C$1:$C$676,0),MATCH($O$1,'Base de dados IHS'!$A$1:$V$1,0))</f>
        <v>291518.00825125998</v>
      </c>
      <c r="P58" s="11">
        <f>INDEX('Base de dados IHS'!$A$1:$V$676,MATCH($N58,'Base de dados IHS'!$C$1:$C$676,0),MATCH($P$1,'Base de dados IHS'!$A$1:$V$1,0))</f>
        <v>360513.15606205998</v>
      </c>
      <c r="Q58" s="131">
        <f>INDEX('Base de dados IHS'!$A$1:$V$676,MATCH($N58,'Base de dados IHS'!$C$1:$C$676,0),MATCH($Q$1,'Base de dados IHS'!$A$1:$V$1,0))</f>
        <v>5.8242788163419112E-3</v>
      </c>
      <c r="R58" s="131">
        <f>INDEX('Base de dados IHS'!$A$1:$V$676,MATCH($N58,'Base de dados IHS'!$C$1:$C$676,0),MATCH($R$1,'Base de dados IHS'!$A$1:$V$1,0))</f>
        <v>6.3985825658548342E-3</v>
      </c>
      <c r="S58" s="131">
        <f>INDEX('Base de dados IHS'!$A$1:$V$676,MATCH($N58,'Base de dados IHS'!$C$1:$C$676,0),MATCH($S$1,'Base de dados IHS'!$A$1:$V$1,0))</f>
        <v>5.7430374951292305E-4</v>
      </c>
      <c r="T58" t="str">
        <f>IF(Q58&lt;'Cenario A ranking setor PIB'!$G$30,"N","Y")</f>
        <v>N</v>
      </c>
    </row>
    <row r="59" spans="1:20" hidden="1" x14ac:dyDescent="0.45">
      <c r="A59" s="293" t="s">
        <v>169</v>
      </c>
      <c r="B59" s="297" t="s">
        <v>1</v>
      </c>
      <c r="C59" s="297" t="s">
        <v>958</v>
      </c>
      <c r="D59" s="311">
        <v>327.61890704000001</v>
      </c>
      <c r="E59" s="311">
        <v>417.24640840000001</v>
      </c>
      <c r="F59" s="302">
        <f t="shared" si="3"/>
        <v>0.27357243258569652</v>
      </c>
      <c r="G59" s="311">
        <v>366.42191739999998</v>
      </c>
      <c r="H59" s="311">
        <v>417.24640840000001</v>
      </c>
      <c r="I59" s="302">
        <f t="shared" si="4"/>
        <v>0.13870483338069017</v>
      </c>
      <c r="J59" s="311">
        <v>492.29486562</v>
      </c>
      <c r="K59" s="311">
        <v>538.41655446000004</v>
      </c>
      <c r="L59" s="311">
        <v>574.92594925000003</v>
      </c>
      <c r="M59" s="312">
        <v>671.10243765999996</v>
      </c>
      <c r="N59" t="str">
        <f t="shared" si="5"/>
        <v>Costa RicaManufacture of chemicals and chemical products (C20)</v>
      </c>
      <c r="O59" s="11">
        <f>INDEX('Base de dados IHS'!$A$1:$V$676,MATCH($N59,'Base de dados IHS'!$C$1:$C$676,0),MATCH($O$1,'Base de dados IHS'!$A$1:$V$1,0))</f>
        <v>56790.776904650003</v>
      </c>
      <c r="P59" s="11">
        <f>INDEX('Base de dados IHS'!$A$1:$V$676,MATCH($N59,'Base de dados IHS'!$C$1:$C$676,0),MATCH($P$1,'Base de dados IHS'!$A$1:$V$1,0))</f>
        <v>66933.267445050005</v>
      </c>
      <c r="Q59" s="131">
        <f>INDEX('Base de dados IHS'!$A$1:$V$676,MATCH($N59,'Base de dados IHS'!$C$1:$C$676,0),MATCH($Q$1,'Base de dados IHS'!$A$1:$V$1,0))</f>
        <v>6.4521377831335408E-3</v>
      </c>
      <c r="R59" s="131">
        <f>INDEX('Base de dados IHS'!$A$1:$V$676,MATCH($N59,'Base de dados IHS'!$C$1:$C$676,0),MATCH($R$1,'Base de dados IHS'!$A$1:$V$1,0))</f>
        <v>6.2337672181108665E-3</v>
      </c>
      <c r="S59" s="131">
        <f>INDEX('Base de dados IHS'!$A$1:$V$676,MATCH($N59,'Base de dados IHS'!$C$1:$C$676,0),MATCH($S$1,'Base de dados IHS'!$A$1:$V$1,0))</f>
        <v>-2.1837056502267433E-4</v>
      </c>
      <c r="T59" t="str">
        <f>IF(Q59&lt;'Cenario A ranking setor PIB'!$G$30,"N","Y")</f>
        <v>N</v>
      </c>
    </row>
    <row r="60" spans="1:20" hidden="1" x14ac:dyDescent="0.45">
      <c r="A60" s="293" t="s">
        <v>174</v>
      </c>
      <c r="B60" s="297" t="s">
        <v>1</v>
      </c>
      <c r="C60" s="297" t="s">
        <v>958</v>
      </c>
      <c r="D60" s="311">
        <v>422.63741597000001</v>
      </c>
      <c r="E60" s="311">
        <v>531.07329656000002</v>
      </c>
      <c r="F60" s="302">
        <f t="shared" si="3"/>
        <v>0.25656952388166476</v>
      </c>
      <c r="G60" s="311">
        <v>471.69663319</v>
      </c>
      <c r="H60" s="311">
        <v>531.07329656000002</v>
      </c>
      <c r="I60" s="302">
        <f t="shared" si="4"/>
        <v>0.12587892130678613</v>
      </c>
      <c r="J60" s="311">
        <v>536.41228133000004</v>
      </c>
      <c r="K60" s="311">
        <v>625.09750093000002</v>
      </c>
      <c r="L60" s="311">
        <v>700.01651934999995</v>
      </c>
      <c r="M60" s="312">
        <v>893.85367334</v>
      </c>
      <c r="N60" t="str">
        <f t="shared" si="5"/>
        <v>Sri LankaManufacture of chemicals and chemical products (C20)</v>
      </c>
      <c r="O60" s="11">
        <f>INDEX('Base de dados IHS'!$A$1:$V$676,MATCH($N60,'Base de dados IHS'!$C$1:$C$676,0),MATCH($O$1,'Base de dados IHS'!$A$1:$V$1,0))</f>
        <v>77969.257644440004</v>
      </c>
      <c r="P60" s="11">
        <f>INDEX('Base de dados IHS'!$A$1:$V$676,MATCH($N60,'Base de dados IHS'!$C$1:$C$676,0),MATCH($P$1,'Base de dados IHS'!$A$1:$V$1,0))</f>
        <v>87884.425158479993</v>
      </c>
      <c r="Q60" s="131">
        <f>INDEX('Base de dados IHS'!$A$1:$V$676,MATCH($N60,'Base de dados IHS'!$C$1:$C$676,0),MATCH($Q$1,'Base de dados IHS'!$A$1:$V$1,0))</f>
        <v>6.0497771485918048E-3</v>
      </c>
      <c r="R60" s="131">
        <f>INDEX('Base de dados IHS'!$A$1:$V$676,MATCH($N60,'Base de dados IHS'!$C$1:$C$676,0),MATCH($R$1,'Base de dados IHS'!$A$1:$V$1,0))</f>
        <v>6.0428602178637181E-3</v>
      </c>
      <c r="S60" s="131">
        <f>INDEX('Base de dados IHS'!$A$1:$V$676,MATCH($N60,'Base de dados IHS'!$C$1:$C$676,0),MATCH($S$1,'Base de dados IHS'!$A$1:$V$1,0))</f>
        <v>-6.9169307280866552E-6</v>
      </c>
      <c r="T60" t="str">
        <f>IF(Q60&lt;'Cenario A ranking setor PIB'!$G$30,"N","Y")</f>
        <v>N</v>
      </c>
    </row>
    <row r="61" spans="1:20" hidden="1" x14ac:dyDescent="0.45">
      <c r="A61" s="293" t="s">
        <v>156</v>
      </c>
      <c r="B61" s="297" t="s">
        <v>1</v>
      </c>
      <c r="C61" s="297" t="s">
        <v>958</v>
      </c>
      <c r="D61" s="311">
        <v>1058.4771175599999</v>
      </c>
      <c r="E61" s="311">
        <v>1206.04845761</v>
      </c>
      <c r="F61" s="302">
        <f t="shared" si="3"/>
        <v>0.13941854538167187</v>
      </c>
      <c r="G61" s="311">
        <v>946.23525142999995</v>
      </c>
      <c r="H61" s="311">
        <v>1206.04845761</v>
      </c>
      <c r="I61" s="302">
        <f t="shared" si="4"/>
        <v>0.27457569963426831</v>
      </c>
      <c r="J61" s="311">
        <v>1212.96738076</v>
      </c>
      <c r="K61" s="311">
        <v>1240.7337903099999</v>
      </c>
      <c r="L61" s="311">
        <v>1258.7540097599999</v>
      </c>
      <c r="M61" s="312">
        <v>1297.87529823</v>
      </c>
      <c r="N61" t="str">
        <f t="shared" si="5"/>
        <v>GreeceManufacture of chemicals and chemical products (C20)</v>
      </c>
      <c r="O61" s="11">
        <f>INDEX('Base de dados IHS'!$A$1:$V$676,MATCH($N61,'Base de dados IHS'!$C$1:$C$676,0),MATCH($O$1,'Base de dados IHS'!$A$1:$V$1,0))</f>
        <v>196841.83448053</v>
      </c>
      <c r="P61" s="11">
        <f>INDEX('Base de dados IHS'!$A$1:$V$676,MATCH($N61,'Base de dados IHS'!$C$1:$C$676,0),MATCH($P$1,'Base de dados IHS'!$A$1:$V$1,0))</f>
        <v>201121.93838619001</v>
      </c>
      <c r="Q61" s="131">
        <f>INDEX('Base de dados IHS'!$A$1:$V$676,MATCH($N61,'Base de dados IHS'!$C$1:$C$676,0),MATCH($Q$1,'Base de dados IHS'!$A$1:$V$1,0))</f>
        <v>4.8070840933134764E-3</v>
      </c>
      <c r="R61" s="131">
        <f>INDEX('Base de dados IHS'!$A$1:$V$676,MATCH($N61,'Base de dados IHS'!$C$1:$C$676,0),MATCH($R$1,'Base de dados IHS'!$A$1:$V$1,0))</f>
        <v>5.9966031915134575E-3</v>
      </c>
      <c r="S61" s="131">
        <f>INDEX('Base de dados IHS'!$A$1:$V$676,MATCH($N61,'Base de dados IHS'!$C$1:$C$676,0),MATCH($S$1,'Base de dados IHS'!$A$1:$V$1,0))</f>
        <v>1.1895190981999811E-3</v>
      </c>
      <c r="T61" t="str">
        <f>IF(Q61&lt;'Cenario A ranking setor PIB'!$G$30,"N","Y")</f>
        <v>N</v>
      </c>
    </row>
    <row r="62" spans="1:20" hidden="1" x14ac:dyDescent="0.45">
      <c r="A62" s="293" t="s">
        <v>76</v>
      </c>
      <c r="B62" s="297" t="s">
        <v>1</v>
      </c>
      <c r="C62" s="297" t="s">
        <v>958</v>
      </c>
      <c r="D62" s="311">
        <v>9297.0282364199993</v>
      </c>
      <c r="E62" s="311">
        <v>14519.21907967</v>
      </c>
      <c r="F62" s="302">
        <f t="shared" si="3"/>
        <v>0.56170538697437644</v>
      </c>
      <c r="G62" s="311">
        <v>16275.832945820001</v>
      </c>
      <c r="H62" s="311">
        <v>14519.21907967</v>
      </c>
      <c r="I62" s="302">
        <f t="shared" si="4"/>
        <v>-0.10792773998095984</v>
      </c>
      <c r="J62" s="311">
        <v>13188.410310380001</v>
      </c>
      <c r="K62" s="311">
        <v>14122.716920209999</v>
      </c>
      <c r="L62" s="311">
        <v>14797.853999839999</v>
      </c>
      <c r="M62" s="312">
        <v>16594.366969980001</v>
      </c>
      <c r="N62" t="str">
        <f t="shared" si="5"/>
        <v>United KingdomManufacture of chemicals and chemical products (C20)</v>
      </c>
      <c r="O62" s="11">
        <f>INDEX('Base de dados IHS'!$A$1:$V$676,MATCH($N62,'Base de dados IHS'!$C$1:$C$676,0),MATCH($O$1,'Base de dados IHS'!$A$1:$V$1,0))</f>
        <v>2643868.3114987002</v>
      </c>
      <c r="P62" s="11">
        <f>INDEX('Base de dados IHS'!$A$1:$V$676,MATCH($N62,'Base de dados IHS'!$C$1:$C$676,0),MATCH($P$1,'Base de dados IHS'!$A$1:$V$1,0))</f>
        <v>2777419.6130784</v>
      </c>
      <c r="Q62" s="131">
        <f>INDEX('Base de dados IHS'!$A$1:$V$676,MATCH($N62,'Base de dados IHS'!$C$1:$C$676,0),MATCH($Q$1,'Base de dados IHS'!$A$1:$V$1,0))</f>
        <v>6.1560679384193313E-3</v>
      </c>
      <c r="R62" s="131">
        <f>INDEX('Base de dados IHS'!$A$1:$V$676,MATCH($N62,'Base de dados IHS'!$C$1:$C$676,0),MATCH($R$1,'Base de dados IHS'!$A$1:$V$1,0))</f>
        <v>5.2275929108088126E-3</v>
      </c>
      <c r="S62" s="131">
        <f>INDEX('Base de dados IHS'!$A$1:$V$676,MATCH($N62,'Base de dados IHS'!$C$1:$C$676,0),MATCH($S$1,'Base de dados IHS'!$A$1:$V$1,0))</f>
        <v>-9.2847502761051869E-4</v>
      </c>
      <c r="T62" t="str">
        <f>IF(Q62&lt;'Cenario A ranking setor PIB'!$G$30,"N","Y")</f>
        <v>N</v>
      </c>
    </row>
    <row r="63" spans="1:20" hidden="1" x14ac:dyDescent="0.45">
      <c r="A63" s="293" t="s">
        <v>170</v>
      </c>
      <c r="B63" s="297" t="s">
        <v>1</v>
      </c>
      <c r="C63" s="297" t="s">
        <v>958</v>
      </c>
      <c r="D63" s="311">
        <v>1563.41816098</v>
      </c>
      <c r="E63" s="311">
        <v>1501.64575644</v>
      </c>
      <c r="F63" s="302">
        <f t="shared" si="3"/>
        <v>-3.9511121260916604E-2</v>
      </c>
      <c r="G63" s="311">
        <v>1552.0191792999999</v>
      </c>
      <c r="H63" s="311">
        <v>1501.64575644</v>
      </c>
      <c r="I63" s="302">
        <f t="shared" si="4"/>
        <v>-3.2456701264941601E-2</v>
      </c>
      <c r="J63" s="311">
        <v>1403.58043894</v>
      </c>
      <c r="K63" s="311">
        <v>1520.95754029</v>
      </c>
      <c r="L63" s="311">
        <v>1616.25654635</v>
      </c>
      <c r="M63" s="312">
        <v>1832.3526413699999</v>
      </c>
      <c r="N63" t="str">
        <f t="shared" si="5"/>
        <v>ChileManufacture of chemicals and chemical products (C20)</v>
      </c>
      <c r="O63" s="11">
        <f>INDEX('Base de dados IHS'!$A$1:$V$676,MATCH($N63,'Base de dados IHS'!$C$1:$C$676,0),MATCH($O$1,'Base de dados IHS'!$A$1:$V$1,0))</f>
        <v>257576.69277617999</v>
      </c>
      <c r="P63" s="11">
        <f>INDEX('Base de dados IHS'!$A$1:$V$676,MATCH($N63,'Base de dados IHS'!$C$1:$C$676,0),MATCH($P$1,'Base de dados IHS'!$A$1:$V$1,0))</f>
        <v>291863.26262717001</v>
      </c>
      <c r="Q63" s="131">
        <f>INDEX('Base de dados IHS'!$A$1:$V$676,MATCH($N63,'Base de dados IHS'!$C$1:$C$676,0),MATCH($Q$1,'Base de dados IHS'!$A$1:$V$1,0))</f>
        <v>6.0254643483935843E-3</v>
      </c>
      <c r="R63" s="131">
        <f>INDEX('Base de dados IHS'!$A$1:$V$676,MATCH($N63,'Base de dados IHS'!$C$1:$C$676,0),MATCH($R$1,'Base de dados IHS'!$A$1:$V$1,0))</f>
        <v>5.1450317622133285E-3</v>
      </c>
      <c r="S63" s="131">
        <f>INDEX('Base de dados IHS'!$A$1:$V$676,MATCH($N63,'Base de dados IHS'!$C$1:$C$676,0),MATCH($S$1,'Base de dados IHS'!$A$1:$V$1,0))</f>
        <v>-8.8043258618025581E-4</v>
      </c>
      <c r="T63" t="str">
        <f>IF(Q63&lt;'Cenario A ranking setor PIB'!$G$30,"N","Y")</f>
        <v>N</v>
      </c>
    </row>
    <row r="64" spans="1:20" hidden="1" x14ac:dyDescent="0.45">
      <c r="A64" s="293" t="s">
        <v>175</v>
      </c>
      <c r="B64" s="297" t="s">
        <v>1</v>
      </c>
      <c r="C64" s="297" t="s">
        <v>958</v>
      </c>
      <c r="D64" s="311">
        <v>472.06072377999999</v>
      </c>
      <c r="E64" s="311">
        <v>542.05896006</v>
      </c>
      <c r="F64" s="302">
        <f t="shared" si="3"/>
        <v>0.14828227122877968</v>
      </c>
      <c r="G64" s="311">
        <v>462.03593631000001</v>
      </c>
      <c r="H64" s="311">
        <v>542.05896006</v>
      </c>
      <c r="I64" s="302">
        <f t="shared" si="4"/>
        <v>0.17319653615927622</v>
      </c>
      <c r="J64" s="311">
        <v>641.71703198</v>
      </c>
      <c r="K64" s="311">
        <v>785.09328260999996</v>
      </c>
      <c r="L64" s="311">
        <v>912.35999506999997</v>
      </c>
      <c r="M64" s="312">
        <v>1276.0947383600001</v>
      </c>
      <c r="N64" t="str">
        <f t="shared" si="5"/>
        <v>KenyaManufacture of chemicals and chemical products (C20)</v>
      </c>
      <c r="O64" s="11">
        <f>INDEX('Base de dados IHS'!$A$1:$V$676,MATCH($N64,'Base de dados IHS'!$C$1:$C$676,0),MATCH($O$1,'Base de dados IHS'!$A$1:$V$1,0))</f>
        <v>83525.195225389994</v>
      </c>
      <c r="P64" s="11">
        <f>INDEX('Base de dados IHS'!$A$1:$V$676,MATCH($N64,'Base de dados IHS'!$C$1:$C$676,0),MATCH($P$1,'Base de dados IHS'!$A$1:$V$1,0))</f>
        <v>107697.99713524</v>
      </c>
      <c r="Q64" s="131">
        <f>INDEX('Base de dados IHS'!$A$1:$V$676,MATCH($N64,'Base de dados IHS'!$C$1:$C$676,0),MATCH($Q$1,'Base de dados IHS'!$A$1:$V$1,0))</f>
        <v>5.5316953772237372E-3</v>
      </c>
      <c r="R64" s="131">
        <f>INDEX('Base de dados IHS'!$A$1:$V$676,MATCH($N64,'Base de dados IHS'!$C$1:$C$676,0),MATCH($R$1,'Base de dados IHS'!$A$1:$V$1,0))</f>
        <v>5.0331387256841772E-3</v>
      </c>
      <c r="S64" s="131">
        <f>INDEX('Base de dados IHS'!$A$1:$V$676,MATCH($N64,'Base de dados IHS'!$C$1:$C$676,0),MATCH($S$1,'Base de dados IHS'!$A$1:$V$1,0))</f>
        <v>-4.9855665153955998E-4</v>
      </c>
      <c r="T64" t="str">
        <f>IF(Q64&lt;'Cenario A ranking setor PIB'!$G$30,"N","Y")</f>
        <v>N</v>
      </c>
    </row>
    <row r="65" spans="1:20" hidden="1" x14ac:dyDescent="0.45">
      <c r="A65" s="293" t="s">
        <v>177</v>
      </c>
      <c r="B65" s="297" t="s">
        <v>1</v>
      </c>
      <c r="C65" s="297" t="s">
        <v>958</v>
      </c>
      <c r="D65" s="311">
        <v>116.53438946999999</v>
      </c>
      <c r="E65" s="311">
        <v>182.42929985999999</v>
      </c>
      <c r="F65" s="302">
        <f t="shared" si="3"/>
        <v>0.56545463265986085</v>
      </c>
      <c r="G65" s="311">
        <v>140.16333298000001</v>
      </c>
      <c r="H65" s="311">
        <v>182.42929985999999</v>
      </c>
      <c r="I65" s="302">
        <f t="shared" si="4"/>
        <v>0.30154795823834291</v>
      </c>
      <c r="J65" s="311">
        <v>233.73628911</v>
      </c>
      <c r="K65" s="311">
        <v>268.83111191</v>
      </c>
      <c r="L65" s="311">
        <v>295.85795533999999</v>
      </c>
      <c r="M65" s="312">
        <v>362.31148150000001</v>
      </c>
      <c r="N65" t="str">
        <f t="shared" si="5"/>
        <v>BoliviaManufacture of chemicals and chemical products (C20)</v>
      </c>
      <c r="O65" s="11">
        <f>INDEX('Base de dados IHS'!$A$1:$V$676,MATCH($N65,'Base de dados IHS'!$C$1:$C$676,0),MATCH($O$1,'Base de dados IHS'!$A$1:$V$1,0))</f>
        <v>35334.894672080001</v>
      </c>
      <c r="P65" s="11">
        <f>INDEX('Base de dados IHS'!$A$1:$V$676,MATCH($N65,'Base de dados IHS'!$C$1:$C$676,0),MATCH($P$1,'Base de dados IHS'!$A$1:$V$1,0))</f>
        <v>39600.741188879998</v>
      </c>
      <c r="Q65" s="131">
        <f>INDEX('Base de dados IHS'!$A$1:$V$676,MATCH($N65,'Base de dados IHS'!$C$1:$C$676,0),MATCH($Q$1,'Base de dados IHS'!$A$1:$V$1,0))</f>
        <v>3.9667114981030522E-3</v>
      </c>
      <c r="R65" s="131">
        <f>INDEX('Base de dados IHS'!$A$1:$V$676,MATCH($N65,'Base de dados IHS'!$C$1:$C$676,0),MATCH($R$1,'Base de dados IHS'!$A$1:$V$1,0))</f>
        <v>4.6067142781465583E-3</v>
      </c>
      <c r="S65" s="131">
        <f>INDEX('Base de dados IHS'!$A$1:$V$676,MATCH($N65,'Base de dados IHS'!$C$1:$C$676,0),MATCH($S$1,'Base de dados IHS'!$A$1:$V$1,0))</f>
        <v>6.4000278004350611E-4</v>
      </c>
      <c r="T65" t="str">
        <f>IF(Q65&lt;'Cenario A ranking setor PIB'!$G$30,"N","Y")</f>
        <v>N</v>
      </c>
    </row>
    <row r="66" spans="1:20" hidden="1" x14ac:dyDescent="0.45">
      <c r="A66" s="293" t="s">
        <v>171</v>
      </c>
      <c r="B66" s="297" t="s">
        <v>1</v>
      </c>
      <c r="C66" s="297" t="s">
        <v>958</v>
      </c>
      <c r="D66" s="311">
        <v>111.49825643</v>
      </c>
      <c r="E66" s="311">
        <v>181.49335517</v>
      </c>
      <c r="F66" s="302">
        <f t="shared" ref="F66:F76" si="6">H66/D66-1</f>
        <v>0.62776854976152752</v>
      </c>
      <c r="G66" s="311">
        <v>141.80838449999999</v>
      </c>
      <c r="H66" s="311">
        <v>181.49335517</v>
      </c>
      <c r="I66" s="302">
        <f t="shared" ref="I66:I97" si="7">H66/G66-1</f>
        <v>0.27984925440004593</v>
      </c>
      <c r="J66" s="311">
        <v>237.23650591000001</v>
      </c>
      <c r="K66" s="311">
        <v>283.22376272000002</v>
      </c>
      <c r="L66" s="311">
        <v>313.54755891999997</v>
      </c>
      <c r="M66" s="312">
        <v>391.31346344000002</v>
      </c>
      <c r="N66" t="str">
        <f t="shared" ref="N66:N76" si="8">A66&amp;B66</f>
        <v>CameroonManufacture of chemicals and chemical products (C20)</v>
      </c>
      <c r="O66" s="11">
        <f>INDEX('Base de dados IHS'!$A$1:$V$676,MATCH($N66,'Base de dados IHS'!$C$1:$C$676,0),MATCH($O$1,'Base de dados IHS'!$A$1:$V$1,0))</f>
        <v>34069.891642009999</v>
      </c>
      <c r="P66" s="11">
        <f>INDEX('Base de dados IHS'!$A$1:$V$676,MATCH($N66,'Base de dados IHS'!$C$1:$C$676,0),MATCH($P$1,'Base de dados IHS'!$A$1:$V$1,0))</f>
        <v>41316.84413338</v>
      </c>
      <c r="Q66" s="131">
        <f>INDEX('Base de dados IHS'!$A$1:$V$676,MATCH($N66,'Base de dados IHS'!$C$1:$C$676,0),MATCH($Q$1,'Base de dados IHS'!$A$1:$V$1,0))</f>
        <v>4.1622787060802587E-3</v>
      </c>
      <c r="R66" s="131">
        <f>INDEX('Base de dados IHS'!$A$1:$V$676,MATCH($N66,'Base de dados IHS'!$C$1:$C$676,0),MATCH($R$1,'Base de dados IHS'!$A$1:$V$1,0))</f>
        <v>4.3927206682121923E-3</v>
      </c>
      <c r="S66" s="131">
        <f>INDEX('Base de dados IHS'!$A$1:$V$676,MATCH($N66,'Base de dados IHS'!$C$1:$C$676,0),MATCH($S$1,'Base de dados IHS'!$A$1:$V$1,0))</f>
        <v>2.3044196213193365E-4</v>
      </c>
      <c r="T66" t="str">
        <f>IF(Q66&lt;'Cenario A ranking setor PIB'!$G$30,"N","Y")</f>
        <v>N</v>
      </c>
    </row>
    <row r="67" spans="1:20" hidden="1" x14ac:dyDescent="0.45">
      <c r="A67" s="293" t="s">
        <v>151</v>
      </c>
      <c r="B67" s="297" t="s">
        <v>1</v>
      </c>
      <c r="C67" s="297" t="s">
        <v>958</v>
      </c>
      <c r="D67" s="311">
        <v>1638.3709946399999</v>
      </c>
      <c r="E67" s="311">
        <v>1800.35946244</v>
      </c>
      <c r="F67" s="302">
        <f t="shared" si="6"/>
        <v>9.8871664799945913E-2</v>
      </c>
      <c r="G67" s="311">
        <v>1687.452577</v>
      </c>
      <c r="H67" s="311">
        <v>1800.35946244</v>
      </c>
      <c r="I67" s="302">
        <f t="shared" si="7"/>
        <v>6.6909664294524385E-2</v>
      </c>
      <c r="J67" s="311">
        <v>1609.84655982</v>
      </c>
      <c r="K67" s="311">
        <v>1641.89149877</v>
      </c>
      <c r="L67" s="311">
        <v>1663.4025064499999</v>
      </c>
      <c r="M67" s="312">
        <v>1727.4597056099999</v>
      </c>
      <c r="N67" t="str">
        <f t="shared" si="8"/>
        <v>NorwayManufacture of chemicals and chemical products (C20)</v>
      </c>
      <c r="O67" s="11">
        <f>INDEX('Base de dados IHS'!$A$1:$V$676,MATCH($N67,'Base de dados IHS'!$C$1:$C$676,0),MATCH($O$1,'Base de dados IHS'!$A$1:$V$1,0))</f>
        <v>386512.35690163</v>
      </c>
      <c r="P67" s="11">
        <f>INDEX('Base de dados IHS'!$A$1:$V$676,MATCH($N67,'Base de dados IHS'!$C$1:$C$676,0),MATCH($P$1,'Base de dados IHS'!$A$1:$V$1,0))</f>
        <v>418559.21595058002</v>
      </c>
      <c r="Q67" s="131">
        <f>INDEX('Base de dados IHS'!$A$1:$V$676,MATCH($N67,'Base de dados IHS'!$C$1:$C$676,0),MATCH($Q$1,'Base de dados IHS'!$A$1:$V$1,0))</f>
        <v>4.3658437999938718E-3</v>
      </c>
      <c r="R67" s="131">
        <f>INDEX('Base de dados IHS'!$A$1:$V$676,MATCH($N67,'Base de dados IHS'!$C$1:$C$676,0),MATCH($R$1,'Base de dados IHS'!$A$1:$V$1,0))</f>
        <v>4.301325580303484E-3</v>
      </c>
      <c r="S67" s="131">
        <f>INDEX('Base de dados IHS'!$A$1:$V$676,MATCH($N67,'Base de dados IHS'!$C$1:$C$676,0),MATCH($S$1,'Base de dados IHS'!$A$1:$V$1,0))</f>
        <v>-6.4518219690387797E-5</v>
      </c>
      <c r="T67" t="str">
        <f>IF(Q67&lt;'Cenario A ranking setor PIB'!$G$30,"N","Y")</f>
        <v>N</v>
      </c>
    </row>
    <row r="68" spans="1:20" hidden="1" x14ac:dyDescent="0.45">
      <c r="A68" s="293" t="s">
        <v>165</v>
      </c>
      <c r="B68" s="297" t="s">
        <v>1</v>
      </c>
      <c r="C68" s="297" t="s">
        <v>958</v>
      </c>
      <c r="D68" s="311">
        <v>404.91729135000003</v>
      </c>
      <c r="E68" s="311">
        <v>432.72758013999999</v>
      </c>
      <c r="F68" s="302">
        <f t="shared" si="6"/>
        <v>6.8681405768768355E-2</v>
      </c>
      <c r="G68" s="311">
        <v>508.91422410000001</v>
      </c>
      <c r="H68" s="311">
        <v>432.72758013999999</v>
      </c>
      <c r="I68" s="302">
        <f t="shared" si="7"/>
        <v>-0.1497042926924157</v>
      </c>
      <c r="J68" s="311">
        <v>511.15094217000001</v>
      </c>
      <c r="K68" s="311">
        <v>574.07847805999995</v>
      </c>
      <c r="L68" s="311">
        <v>622.60691285999997</v>
      </c>
      <c r="M68" s="312">
        <v>746.88235408000003</v>
      </c>
      <c r="N68" t="str">
        <f t="shared" si="8"/>
        <v>EcuadorManufacture of chemicals and chemical products (C20)</v>
      </c>
      <c r="O68" s="11">
        <f>INDEX('Base de dados IHS'!$A$1:$V$676,MATCH($N68,'Base de dados IHS'!$C$1:$C$676,0),MATCH($O$1,'Base de dados IHS'!$A$1:$V$1,0))</f>
        <v>105544.34131757999</v>
      </c>
      <c r="P68" s="11">
        <f>INDEX('Base de dados IHS'!$A$1:$V$676,MATCH($N68,'Base de dados IHS'!$C$1:$C$676,0),MATCH($P$1,'Base de dados IHS'!$A$1:$V$1,0))</f>
        <v>103911.06087433999</v>
      </c>
      <c r="Q68" s="131">
        <f>INDEX('Base de dados IHS'!$A$1:$V$676,MATCH($N68,'Base de dados IHS'!$C$1:$C$676,0),MATCH($Q$1,'Base de dados IHS'!$A$1:$V$1,0))</f>
        <v>4.8218049186425941E-3</v>
      </c>
      <c r="R68" s="131">
        <f>INDEX('Base de dados IHS'!$A$1:$V$676,MATCH($N68,'Base de dados IHS'!$C$1:$C$676,0),MATCH($R$1,'Base de dados IHS'!$A$1:$V$1,0))</f>
        <v>4.164403447514591E-3</v>
      </c>
      <c r="S68" s="131">
        <f>INDEX('Base de dados IHS'!$A$1:$V$676,MATCH($N68,'Base de dados IHS'!$C$1:$C$676,0),MATCH($S$1,'Base de dados IHS'!$A$1:$V$1,0))</f>
        <v>-6.574014711280031E-4</v>
      </c>
      <c r="T68" t="str">
        <f>IF(Q68&lt;'Cenario A ranking setor PIB'!$G$30,"N","Y")</f>
        <v>N</v>
      </c>
    </row>
    <row r="69" spans="1:20" hidden="1" x14ac:dyDescent="0.45">
      <c r="A69" s="293" t="s">
        <v>161</v>
      </c>
      <c r="B69" s="297" t="s">
        <v>1</v>
      </c>
      <c r="C69" s="297" t="s">
        <v>958</v>
      </c>
      <c r="D69" s="311">
        <v>991.82922613999995</v>
      </c>
      <c r="E69" s="311">
        <v>935.35807507000004</v>
      </c>
      <c r="F69" s="302">
        <f t="shared" si="6"/>
        <v>-5.6936365234743325E-2</v>
      </c>
      <c r="G69" s="311">
        <v>996.72278302999996</v>
      </c>
      <c r="H69" s="311">
        <v>935.35807507000004</v>
      </c>
      <c r="I69" s="302">
        <f t="shared" si="7"/>
        <v>-6.1566474655524117E-2</v>
      </c>
      <c r="J69" s="311">
        <v>825.10930916999996</v>
      </c>
      <c r="K69" s="311">
        <v>846.70252166</v>
      </c>
      <c r="L69" s="311">
        <v>856.67675577</v>
      </c>
      <c r="M69" s="312">
        <v>880.17357242000003</v>
      </c>
      <c r="N69" t="str">
        <f t="shared" si="8"/>
        <v>PortugalManufacture of chemicals and chemical products (C20)</v>
      </c>
      <c r="O69" s="11">
        <f>INDEX('Base de dados IHS'!$A$1:$V$676,MATCH($N69,'Base de dados IHS'!$C$1:$C$676,0),MATCH($O$1,'Base de dados IHS'!$A$1:$V$1,0))</f>
        <v>215192.52938671</v>
      </c>
      <c r="P69" s="11">
        <f>INDEX('Base de dados IHS'!$A$1:$V$676,MATCH($N69,'Base de dados IHS'!$C$1:$C$676,0),MATCH($P$1,'Base de dados IHS'!$A$1:$V$1,0))</f>
        <v>232686.90641277001</v>
      </c>
      <c r="Q69" s="131">
        <f>INDEX('Base de dados IHS'!$A$1:$V$676,MATCH($N69,'Base de dados IHS'!$C$1:$C$676,0),MATCH($Q$1,'Base de dados IHS'!$A$1:$V$1,0))</f>
        <v>4.6317722361023383E-3</v>
      </c>
      <c r="R69" s="131">
        <f>INDEX('Base de dados IHS'!$A$1:$V$676,MATCH($N69,'Base de dados IHS'!$C$1:$C$676,0),MATCH($R$1,'Base de dados IHS'!$A$1:$V$1,0))</f>
        <v>4.0198139615588912E-3</v>
      </c>
      <c r="S69" s="131">
        <f>INDEX('Base de dados IHS'!$A$1:$V$676,MATCH($N69,'Base de dados IHS'!$C$1:$C$676,0),MATCH($S$1,'Base de dados IHS'!$A$1:$V$1,0))</f>
        <v>-6.1195827454344712E-4</v>
      </c>
      <c r="T69" t="str">
        <f>IF(Q69&lt;'Cenario A ranking setor PIB'!$G$30,"N","Y")</f>
        <v>N</v>
      </c>
    </row>
    <row r="70" spans="1:20" hidden="1" x14ac:dyDescent="0.45">
      <c r="A70" s="293" t="s">
        <v>102</v>
      </c>
      <c r="B70" s="297" t="s">
        <v>1</v>
      </c>
      <c r="C70" s="297" t="s">
        <v>958</v>
      </c>
      <c r="D70" s="311">
        <v>397.57747965999999</v>
      </c>
      <c r="E70" s="311">
        <v>1434.0159959600001</v>
      </c>
      <c r="F70" s="302">
        <f t="shared" si="6"/>
        <v>2.6068843667562378</v>
      </c>
      <c r="G70" s="311">
        <v>1260.1223875200001</v>
      </c>
      <c r="H70" s="311">
        <v>1434.0159959600001</v>
      </c>
      <c r="I70" s="302">
        <f t="shared" si="7"/>
        <v>0.13799739625468721</v>
      </c>
      <c r="J70" s="311">
        <v>1774.1184301999999</v>
      </c>
      <c r="K70" s="311">
        <v>2000.3133154100001</v>
      </c>
      <c r="L70" s="311">
        <v>2190.5255338100001</v>
      </c>
      <c r="M70" s="312">
        <v>2666.5135572300001</v>
      </c>
      <c r="N70" t="str">
        <f t="shared" si="8"/>
        <v>NigeriaManufacture of chemicals and chemical products (C20)</v>
      </c>
      <c r="O70" s="11">
        <f>INDEX('Base de dados IHS'!$A$1:$V$676,MATCH($N70,'Base de dados IHS'!$C$1:$C$676,0),MATCH($O$1,'Base de dados IHS'!$A$1:$V$1,0))</f>
        <v>460034.71302222001</v>
      </c>
      <c r="P70" s="11">
        <f>INDEX('Base de dados IHS'!$A$1:$V$676,MATCH($N70,'Base de dados IHS'!$C$1:$C$676,0),MATCH($P$1,'Base de dados IHS'!$A$1:$V$1,0))</f>
        <v>483780.49839321</v>
      </c>
      <c r="Q70" s="131">
        <f>INDEX('Base de dados IHS'!$A$1:$V$676,MATCH($N70,'Base de dados IHS'!$C$1:$C$676,0),MATCH($Q$1,'Base de dados IHS'!$A$1:$V$1,0))</f>
        <v>2.7391897868783988E-3</v>
      </c>
      <c r="R70" s="131">
        <f>INDEX('Base de dados IHS'!$A$1:$V$676,MATCH($N70,'Base de dados IHS'!$C$1:$C$676,0),MATCH($R$1,'Base de dados IHS'!$A$1:$V$1,0))</f>
        <v>2.9641872723741997E-3</v>
      </c>
      <c r="S70" s="131">
        <f>INDEX('Base de dados IHS'!$A$1:$V$676,MATCH($N70,'Base de dados IHS'!$C$1:$C$676,0),MATCH($S$1,'Base de dados IHS'!$A$1:$V$1,0))</f>
        <v>2.249974854958009E-4</v>
      </c>
      <c r="T70" t="str">
        <f>IF(Q70&lt;'Cenario A ranking setor PIB'!$G$30,"N","Y")</f>
        <v>N</v>
      </c>
    </row>
    <row r="71" spans="1:20" hidden="1" x14ac:dyDescent="0.45">
      <c r="A71" s="293" t="s">
        <v>163</v>
      </c>
      <c r="B71" s="297" t="s">
        <v>1</v>
      </c>
      <c r="C71" s="297" t="s">
        <v>958</v>
      </c>
      <c r="D71" s="311">
        <v>644.94417426999996</v>
      </c>
      <c r="E71" s="311">
        <v>650.16314680000005</v>
      </c>
      <c r="F71" s="302">
        <f t="shared" si="6"/>
        <v>8.0921306652739222E-3</v>
      </c>
      <c r="G71" s="311">
        <v>698.21132795999995</v>
      </c>
      <c r="H71" s="311">
        <v>650.16314680000005</v>
      </c>
      <c r="I71" s="302">
        <f t="shared" si="7"/>
        <v>-6.8816100850704776E-2</v>
      </c>
      <c r="J71" s="311">
        <v>536.26620181999999</v>
      </c>
      <c r="K71" s="311">
        <v>557.74056196000004</v>
      </c>
      <c r="L71" s="311">
        <v>575.24930128000005</v>
      </c>
      <c r="M71" s="312">
        <v>613.52505883000003</v>
      </c>
      <c r="N71" t="str">
        <f t="shared" si="8"/>
        <v>New ZealandManufacture of chemicals and chemical products (C20)</v>
      </c>
      <c r="O71" s="11">
        <f>INDEX('Base de dados IHS'!$A$1:$V$676,MATCH($N71,'Base de dados IHS'!$C$1:$C$676,0),MATCH($O$1,'Base de dados IHS'!$A$1:$V$1,0))</f>
        <v>180884.85070677</v>
      </c>
      <c r="P71" s="11">
        <f>INDEX('Base de dados IHS'!$A$1:$V$676,MATCH($N71,'Base de dados IHS'!$C$1:$C$676,0),MATCH($P$1,'Base de dados IHS'!$A$1:$V$1,0))</f>
        <v>220909.49174857</v>
      </c>
      <c r="Q71" s="131">
        <f>INDEX('Base de dados IHS'!$A$1:$V$676,MATCH($N71,'Base de dados IHS'!$C$1:$C$676,0),MATCH($Q$1,'Base de dados IHS'!$A$1:$V$1,0))</f>
        <v>3.8599768042038023E-3</v>
      </c>
      <c r="R71" s="131">
        <f>INDEX('Base de dados IHS'!$A$1:$V$676,MATCH($N71,'Base de dados IHS'!$C$1:$C$676,0),MATCH($R$1,'Base de dados IHS'!$A$1:$V$1,0))</f>
        <v>2.94312001559439E-3</v>
      </c>
      <c r="S71" s="131">
        <f>INDEX('Base de dados IHS'!$A$1:$V$676,MATCH($N71,'Base de dados IHS'!$C$1:$C$676,0),MATCH($S$1,'Base de dados IHS'!$A$1:$V$1,0))</f>
        <v>-9.1685678860941233E-4</v>
      </c>
      <c r="T71" t="str">
        <f>IF(Q71&lt;'Cenario A ranking setor PIB'!$G$30,"N","Y")</f>
        <v>N</v>
      </c>
    </row>
    <row r="72" spans="1:20" hidden="1" x14ac:dyDescent="0.45">
      <c r="A72" s="293" t="s">
        <v>120</v>
      </c>
      <c r="B72" s="297" t="s">
        <v>1</v>
      </c>
      <c r="C72" s="297" t="s">
        <v>958</v>
      </c>
      <c r="D72" s="311">
        <v>4257.9990671899996</v>
      </c>
      <c r="E72" s="311">
        <v>3405.9686646599998</v>
      </c>
      <c r="F72" s="302">
        <f t="shared" si="6"/>
        <v>-0.20010112475019493</v>
      </c>
      <c r="G72" s="311">
        <v>3825.5041254299999</v>
      </c>
      <c r="H72" s="311">
        <v>3405.9686646599998</v>
      </c>
      <c r="I72" s="302">
        <f t="shared" si="7"/>
        <v>-0.10966801943334537</v>
      </c>
      <c r="J72" s="311">
        <v>3622.4760013999999</v>
      </c>
      <c r="K72" s="311">
        <v>3811.4032169299999</v>
      </c>
      <c r="L72" s="311">
        <v>3930.3013696799999</v>
      </c>
      <c r="M72" s="312">
        <v>4229.3414360200004</v>
      </c>
      <c r="N72" t="str">
        <f t="shared" si="8"/>
        <v>AustraliaManufacture of chemicals and chemical products (C20)</v>
      </c>
      <c r="O72" s="11">
        <f>INDEX('Base de dados IHS'!$A$1:$V$676,MATCH($N72,'Base de dados IHS'!$C$1:$C$676,0),MATCH($O$1,'Base de dados IHS'!$A$1:$V$1,0))</f>
        <v>1256563.3075111001</v>
      </c>
      <c r="P72" s="11">
        <f>INDEX('Base de dados IHS'!$A$1:$V$676,MATCH($N72,'Base de dados IHS'!$C$1:$C$676,0),MATCH($P$1,'Base de dados IHS'!$A$1:$V$1,0))</f>
        <v>1430586.2916371</v>
      </c>
      <c r="Q72" s="131">
        <f>INDEX('Base de dados IHS'!$A$1:$V$676,MATCH($N72,'Base de dados IHS'!$C$1:$C$676,0),MATCH($Q$1,'Base de dados IHS'!$A$1:$V$1,0))</f>
        <v>3.0444181383962677E-3</v>
      </c>
      <c r="R72" s="131">
        <f>INDEX('Base de dados IHS'!$A$1:$V$676,MATCH($N72,'Base de dados IHS'!$C$1:$C$676,0),MATCH($R$1,'Base de dados IHS'!$A$1:$V$1,0))</f>
        <v>2.3808201466563469E-3</v>
      </c>
      <c r="S72" s="131">
        <f>INDEX('Base de dados IHS'!$A$1:$V$676,MATCH($N72,'Base de dados IHS'!$C$1:$C$676,0),MATCH($S$1,'Base de dados IHS'!$A$1:$V$1,0))</f>
        <v>-6.635979917399208E-4</v>
      </c>
      <c r="T72" t="str">
        <f>IF(Q72&lt;'Cenario A ranking setor PIB'!$G$30,"N","Y")</f>
        <v>N</v>
      </c>
    </row>
    <row r="73" spans="1:20" hidden="1" x14ac:dyDescent="0.45">
      <c r="A73" s="293" t="s">
        <v>162</v>
      </c>
      <c r="B73" s="297" t="s">
        <v>1</v>
      </c>
      <c r="C73" s="297" t="s">
        <v>958</v>
      </c>
      <c r="D73" s="311">
        <v>429.08024589000001</v>
      </c>
      <c r="E73" s="311">
        <v>497.24363391999998</v>
      </c>
      <c r="F73" s="302">
        <f t="shared" si="6"/>
        <v>0.15885930122141878</v>
      </c>
      <c r="G73" s="311">
        <v>466.67698445000002</v>
      </c>
      <c r="H73" s="311">
        <v>497.24363391999998</v>
      </c>
      <c r="I73" s="302">
        <f t="shared" si="7"/>
        <v>6.5498515008242997E-2</v>
      </c>
      <c r="J73" s="311">
        <v>474.75147944999998</v>
      </c>
      <c r="K73" s="311">
        <v>516.08314214999996</v>
      </c>
      <c r="L73" s="311">
        <v>546.37604038999996</v>
      </c>
      <c r="M73" s="312">
        <v>604.08130476999997</v>
      </c>
      <c r="N73" t="str">
        <f t="shared" si="8"/>
        <v>RomaniaManufacture of chemicals and chemical products (C20)</v>
      </c>
      <c r="O73" s="11">
        <f>INDEX('Base de dados IHS'!$A$1:$V$676,MATCH($N73,'Base de dados IHS'!$C$1:$C$676,0),MATCH($O$1,'Base de dados IHS'!$A$1:$V$1,0))</f>
        <v>204518.17392167001</v>
      </c>
      <c r="P73" s="11">
        <f>INDEX('Base de dados IHS'!$A$1:$V$676,MATCH($N73,'Base de dados IHS'!$C$1:$C$676,0),MATCH($P$1,'Base de dados IHS'!$A$1:$V$1,0))</f>
        <v>254974.25152873</v>
      </c>
      <c r="Q73" s="131">
        <f>INDEX('Base de dados IHS'!$A$1:$V$676,MATCH($N73,'Base de dados IHS'!$C$1:$C$676,0),MATCH($Q$1,'Base de dados IHS'!$A$1:$V$1,0))</f>
        <v>2.2818362569027055E-3</v>
      </c>
      <c r="R73" s="131">
        <f>INDEX('Base de dados IHS'!$A$1:$V$676,MATCH($N73,'Base de dados IHS'!$C$1:$C$676,0),MATCH($R$1,'Base de dados IHS'!$A$1:$V$1,0))</f>
        <v>1.9501719524176015E-3</v>
      </c>
      <c r="S73" s="131">
        <f>INDEX('Base de dados IHS'!$A$1:$V$676,MATCH($N73,'Base de dados IHS'!$C$1:$C$676,0),MATCH($S$1,'Base de dados IHS'!$A$1:$V$1,0))</f>
        <v>-3.3166430448510397E-4</v>
      </c>
      <c r="T73" t="str">
        <f>IF(Q73&lt;'Cenario A ranking setor PIB'!$G$30,"N","Y")</f>
        <v>N</v>
      </c>
    </row>
    <row r="74" spans="1:20" hidden="1" x14ac:dyDescent="0.45">
      <c r="A74" s="293" t="s">
        <v>124</v>
      </c>
      <c r="B74" s="297" t="s">
        <v>1</v>
      </c>
      <c r="C74" s="297" t="s">
        <v>958</v>
      </c>
      <c r="D74" s="311">
        <v>308.50366811999999</v>
      </c>
      <c r="E74" s="311">
        <v>643.67767030000005</v>
      </c>
      <c r="F74" s="302">
        <f t="shared" si="6"/>
        <v>1.0864506222001418</v>
      </c>
      <c r="G74" s="311">
        <v>353.6966084</v>
      </c>
      <c r="H74" s="311">
        <v>643.67767030000005</v>
      </c>
      <c r="I74" s="302">
        <f t="shared" si="7"/>
        <v>0.81985819205836652</v>
      </c>
      <c r="J74" s="311">
        <v>808.48120829000004</v>
      </c>
      <c r="K74" s="311">
        <v>1029.9307231</v>
      </c>
      <c r="L74" s="311">
        <v>1202.2090440300001</v>
      </c>
      <c r="M74" s="312">
        <v>1653.9267659100001</v>
      </c>
      <c r="N74" t="str">
        <f t="shared" si="8"/>
        <v>BangladeshManufacture of chemicals and chemical products (C20)</v>
      </c>
      <c r="O74" s="11">
        <f>INDEX('Base de dados IHS'!$A$1:$V$676,MATCH($N74,'Base de dados IHS'!$C$1:$C$676,0),MATCH($O$1,'Base de dados IHS'!$A$1:$V$1,0))</f>
        <v>264392.25455249997</v>
      </c>
      <c r="P74" s="11">
        <f>INDEX('Base de dados IHS'!$A$1:$V$676,MATCH($N74,'Base de dados IHS'!$C$1:$C$676,0),MATCH($P$1,'Base de dados IHS'!$A$1:$V$1,0))</f>
        <v>386628.84638325998</v>
      </c>
      <c r="Q74" s="131">
        <f>INDEX('Base de dados IHS'!$A$1:$V$676,MATCH($N74,'Base de dados IHS'!$C$1:$C$676,0),MATCH($Q$1,'Base de dados IHS'!$A$1:$V$1,0))</f>
        <v>1.3377722013780363E-3</v>
      </c>
      <c r="R74" s="131">
        <f>INDEX('Base de dados IHS'!$A$1:$V$676,MATCH($N74,'Base de dados IHS'!$C$1:$C$676,0),MATCH($R$1,'Base de dados IHS'!$A$1:$V$1,0))</f>
        <v>1.6648464705138193E-3</v>
      </c>
      <c r="S74" s="131">
        <f>INDEX('Base de dados IHS'!$A$1:$V$676,MATCH($N74,'Base de dados IHS'!$C$1:$C$676,0),MATCH($S$1,'Base de dados IHS'!$A$1:$V$1,0))</f>
        <v>3.27074269135783E-4</v>
      </c>
      <c r="T74" t="str">
        <f>IF(Q74&lt;'Cenario A ranking setor PIB'!$G$30,"N","Y")</f>
        <v>N</v>
      </c>
    </row>
    <row r="75" spans="1:20" hidden="1" x14ac:dyDescent="0.45">
      <c r="A75" s="293" t="s">
        <v>173</v>
      </c>
      <c r="B75" s="297" t="s">
        <v>1</v>
      </c>
      <c r="C75" s="297" t="s">
        <v>958</v>
      </c>
      <c r="D75" s="311">
        <v>61.849977559999999</v>
      </c>
      <c r="E75" s="311">
        <v>107.00985113999999</v>
      </c>
      <c r="F75" s="302">
        <f t="shared" si="6"/>
        <v>0.7301518183444915</v>
      </c>
      <c r="G75" s="311">
        <v>102.58141354999999</v>
      </c>
      <c r="H75" s="311">
        <v>107.00985113999999</v>
      </c>
      <c r="I75" s="302">
        <f t="shared" si="7"/>
        <v>4.3169980182048207E-2</v>
      </c>
      <c r="J75" s="311">
        <v>116.15872936</v>
      </c>
      <c r="K75" s="311">
        <v>127.49606271</v>
      </c>
      <c r="L75" s="311">
        <v>136.47271527000001</v>
      </c>
      <c r="M75" s="312">
        <v>157.91370115000001</v>
      </c>
      <c r="N75" t="str">
        <f t="shared" si="8"/>
        <v>PanamaManufacture of chemicals and chemical products (C20)</v>
      </c>
      <c r="O75" s="11">
        <f>INDEX('Base de dados IHS'!$A$1:$V$676,MATCH($N75,'Base de dados IHS'!$C$1:$C$676,0),MATCH($O$1,'Base de dados IHS'!$A$1:$V$1,0))</f>
        <v>58921.61186117</v>
      </c>
      <c r="P75" s="11">
        <f>INDEX('Base de dados IHS'!$A$1:$V$676,MATCH($N75,'Base de dados IHS'!$C$1:$C$676,0),MATCH($P$1,'Base de dados IHS'!$A$1:$V$1,0))</f>
        <v>65983.988595749994</v>
      </c>
      <c r="Q75" s="131">
        <f>INDEX('Base de dados IHS'!$A$1:$V$676,MATCH($N75,'Base de dados IHS'!$C$1:$C$676,0),MATCH($Q$1,'Base de dados IHS'!$A$1:$V$1,0))</f>
        <v>1.7409811155828594E-3</v>
      </c>
      <c r="R75" s="131">
        <f>INDEX('Base de dados IHS'!$A$1:$V$676,MATCH($N75,'Base de dados IHS'!$C$1:$C$676,0),MATCH($R$1,'Base de dados IHS'!$A$1:$V$1,0))</f>
        <v>1.6217548138169457E-3</v>
      </c>
      <c r="S75" s="131">
        <f>INDEX('Base de dados IHS'!$A$1:$V$676,MATCH($N75,'Base de dados IHS'!$C$1:$C$676,0),MATCH($S$1,'Base de dados IHS'!$A$1:$V$1,0))</f>
        <v>-1.1922630176591374E-4</v>
      </c>
      <c r="T75" t="str">
        <f>IF(Q75&lt;'Cenario A ranking setor PIB'!$G$30,"N","Y")</f>
        <v>N</v>
      </c>
    </row>
    <row r="76" spans="1:20" hidden="1" x14ac:dyDescent="0.45">
      <c r="A76" s="293" t="s">
        <v>167</v>
      </c>
      <c r="B76" s="297" t="s">
        <v>1</v>
      </c>
      <c r="C76" s="297" t="s">
        <v>958</v>
      </c>
      <c r="D76" s="311">
        <v>609.68046067</v>
      </c>
      <c r="E76" s="311">
        <v>528.50054594000005</v>
      </c>
      <c r="F76" s="302">
        <f t="shared" si="6"/>
        <v>-0.13315157687813772</v>
      </c>
      <c r="G76" s="311">
        <v>518.48991470999999</v>
      </c>
      <c r="H76" s="311">
        <v>528.50054594000005</v>
      </c>
      <c r="I76" s="302">
        <f t="shared" si="7"/>
        <v>1.9307282448491225E-2</v>
      </c>
      <c r="J76" s="311">
        <v>601.36809131999996</v>
      </c>
      <c r="K76" s="311">
        <v>594.48056191000001</v>
      </c>
      <c r="L76" s="311">
        <v>586.41312297000002</v>
      </c>
      <c r="M76" s="312">
        <v>579.82996452999998</v>
      </c>
      <c r="N76" t="str">
        <f t="shared" si="8"/>
        <v>Hong Kong SARManufacture of chemicals and chemical products (C20)</v>
      </c>
      <c r="O76" s="11">
        <f>INDEX('Base de dados IHS'!$A$1:$V$676,MATCH($N76,'Base de dados IHS'!$C$1:$C$676,0),MATCH($O$1,'Base de dados IHS'!$A$1:$V$1,0))</f>
        <v>338559.97086627001</v>
      </c>
      <c r="P76" s="11">
        <f>INDEX('Base de dados IHS'!$A$1:$V$676,MATCH($N76,'Base de dados IHS'!$C$1:$C$676,0),MATCH($P$1,'Base de dados IHS'!$A$1:$V$1,0))</f>
        <v>361197.76240428002</v>
      </c>
      <c r="Q76" s="131">
        <f>INDEX('Base de dados IHS'!$A$1:$V$676,MATCH($N76,'Base de dados IHS'!$C$1:$C$676,0),MATCH($Q$1,'Base de dados IHS'!$A$1:$V$1,0))</f>
        <v>1.5314566378988781E-3</v>
      </c>
      <c r="R76" s="131">
        <f>INDEX('Base de dados IHS'!$A$1:$V$676,MATCH($N76,'Base de dados IHS'!$C$1:$C$676,0),MATCH($R$1,'Base de dados IHS'!$A$1:$V$1,0))</f>
        <v>1.4631888703354203E-3</v>
      </c>
      <c r="S76" s="131">
        <f>INDEX('Base de dados IHS'!$A$1:$V$676,MATCH($N76,'Base de dados IHS'!$C$1:$C$676,0),MATCH($S$1,'Base de dados IHS'!$A$1:$V$1,0))</f>
        <v>-6.8267767563457782E-5</v>
      </c>
      <c r="T76" t="str">
        <f>IF(Q76&lt;'Cenario A ranking setor PIB'!$G$30,"N","Y")</f>
        <v>N</v>
      </c>
    </row>
  </sheetData>
  <autoFilter ref="A1:T76" xr:uid="{624984F3-76DF-43CC-8D91-4BEAC8F82E07}">
    <filterColumn colId="19">
      <filters>
        <filter val="Y"/>
      </filters>
    </filterColumn>
    <sortState xmlns:xlrd2="http://schemas.microsoft.com/office/spreadsheetml/2017/richdata2" ref="A2:T24">
      <sortCondition descending="1" ref="S1:S7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3A5C-1753-46A5-A8DE-B4FDB117FFF3}">
  <sheetPr filterMode="1">
    <tabColor theme="4" tint="-0.249977111117893"/>
  </sheetPr>
  <dimension ref="A1:T76"/>
  <sheetViews>
    <sheetView workbookViewId="0"/>
  </sheetViews>
  <sheetFormatPr defaultColWidth="8.86328125" defaultRowHeight="14.25" x14ac:dyDescent="0.45"/>
  <cols>
    <col min="1" max="1" width="18.19921875" customWidth="1"/>
    <col min="2" max="2" width="26.19921875" customWidth="1"/>
    <col min="3" max="13" width="15.46484375" customWidth="1"/>
  </cols>
  <sheetData>
    <row r="1" spans="1:20" x14ac:dyDescent="0.4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933</v>
      </c>
      <c r="O1" s="334" t="s">
        <v>928</v>
      </c>
      <c r="P1" s="334" t="s">
        <v>929</v>
      </c>
      <c r="Q1" s="334" t="s">
        <v>930</v>
      </c>
      <c r="R1" s="334" t="s">
        <v>931</v>
      </c>
      <c r="S1" s="334" t="s">
        <v>932</v>
      </c>
      <c r="T1" s="334" t="s">
        <v>1057</v>
      </c>
    </row>
    <row r="2" spans="1:20" x14ac:dyDescent="0.45">
      <c r="A2" s="293" t="s">
        <v>122</v>
      </c>
      <c r="B2" s="297" t="s">
        <v>3</v>
      </c>
      <c r="C2" s="297" t="s">
        <v>958</v>
      </c>
      <c r="D2" s="311">
        <v>1923.7092673100001</v>
      </c>
      <c r="E2" s="311">
        <v>6368.0868005100001</v>
      </c>
      <c r="F2" s="302">
        <f t="shared" ref="F2:F33" si="0">H2/D2-1</f>
        <v>2.3103166412535669</v>
      </c>
      <c r="G2" s="311">
        <v>2498.4727532900001</v>
      </c>
      <c r="H2" s="311">
        <v>6368.0868005100001</v>
      </c>
      <c r="I2" s="302">
        <f t="shared" ref="I2:I33" si="1">H2/G2-1</f>
        <v>1.5487917737443704</v>
      </c>
      <c r="J2" s="311">
        <v>8073.3543558900001</v>
      </c>
      <c r="K2" s="311">
        <v>11057.136950640001</v>
      </c>
      <c r="L2" s="311">
        <v>13830.205957480001</v>
      </c>
      <c r="M2" s="312">
        <v>21963.293087450002</v>
      </c>
      <c r="N2" t="str">
        <f t="shared" ref="N2:N33" si="2">A2&amp;B2</f>
        <v>VietnamManufacture of basic metals (C24)</v>
      </c>
      <c r="O2" s="11">
        <f>INDEX('Base de dados IHS'!$A$1:$V$676,MATCH($N2,'Base de dados IHS'!$C$1:$C$676,0),MATCH($O$1,'Base de dados IHS'!$A$1:$V$1,0))</f>
        <v>254018.52751081</v>
      </c>
      <c r="P2" s="11">
        <f>INDEX('Base de dados IHS'!$A$1:$V$676,MATCH($N2,'Base de dados IHS'!$C$1:$C$676,0),MATCH($P$1,'Base de dados IHS'!$A$1:$V$1,0))</f>
        <v>352775.42056751001</v>
      </c>
      <c r="Q2" s="131">
        <f>INDEX('Base de dados IHS'!$A$1:$V$676,MATCH($N2,'Base de dados IHS'!$C$1:$C$676,0),MATCH($Q$1,'Base de dados IHS'!$A$1:$V$1,0))</f>
        <v>9.835789451159916E-3</v>
      </c>
      <c r="R2" s="131">
        <f>INDEX('Base de dados IHS'!$A$1:$V$676,MATCH($N2,'Base de dados IHS'!$C$1:$C$676,0),MATCH($R$1,'Base de dados IHS'!$A$1:$V$1,0))</f>
        <v>1.8051390287525292E-2</v>
      </c>
      <c r="S2" s="131">
        <f>INDEX('Base de dados IHS'!$A$1:$V$676,MATCH($N2,'Base de dados IHS'!$C$1:$C$676,0),MATCH($S$1,'Base de dados IHS'!$A$1:$V$1,0))</f>
        <v>8.2156008363653762E-3</v>
      </c>
      <c r="T2" t="str">
        <f>IF(Q2&lt;'Cenario A ranking setor PIB'!$G$44,"N","Y")</f>
        <v>Y</v>
      </c>
    </row>
    <row r="3" spans="1:20" x14ac:dyDescent="0.45">
      <c r="A3" s="293" t="s">
        <v>107</v>
      </c>
      <c r="B3" s="297" t="s">
        <v>3</v>
      </c>
      <c r="C3" s="297" t="s">
        <v>958</v>
      </c>
      <c r="D3" s="311">
        <v>4592.6478899100002</v>
      </c>
      <c r="E3" s="311">
        <v>7144.2696410299995</v>
      </c>
      <c r="F3" s="302">
        <f t="shared" si="0"/>
        <v>0.55558836912489751</v>
      </c>
      <c r="G3" s="311">
        <v>5443.3667765999999</v>
      </c>
      <c r="H3" s="311">
        <v>7144.2696410299995</v>
      </c>
      <c r="I3" s="302">
        <f t="shared" si="1"/>
        <v>0.31247258070903072</v>
      </c>
      <c r="J3" s="311">
        <v>10037.02915762</v>
      </c>
      <c r="K3" s="311">
        <v>11951.284737489999</v>
      </c>
      <c r="L3" s="311">
        <v>12994.38292964</v>
      </c>
      <c r="M3" s="312">
        <v>15612.63983745</v>
      </c>
      <c r="N3" t="str">
        <f t="shared" si="2"/>
        <v>IranManufacture of basic metals (C24)</v>
      </c>
      <c r="O3" s="11">
        <f>INDEX('Base de dados IHS'!$A$1:$V$676,MATCH($N3,'Base de dados IHS'!$C$1:$C$676,0),MATCH($O$1,'Base de dados IHS'!$A$1:$V$1,0))</f>
        <v>195024.47923529</v>
      </c>
      <c r="P3" s="11">
        <f>INDEX('Base de dados IHS'!$A$1:$V$676,MATCH($N3,'Base de dados IHS'!$C$1:$C$676,0),MATCH($P$1,'Base de dados IHS'!$A$1:$V$1,0))</f>
        <v>224406.94908081999</v>
      </c>
      <c r="Q3" s="131">
        <f>INDEX('Base de dados IHS'!$A$1:$V$676,MATCH($N3,'Base de dados IHS'!$C$1:$C$676,0),MATCH($Q$1,'Base de dados IHS'!$A$1:$V$1,0))</f>
        <v>2.7911197599111516E-2</v>
      </c>
      <c r="R3" s="131">
        <f>INDEX('Base de dados IHS'!$A$1:$V$676,MATCH($N3,'Base de dados IHS'!$C$1:$C$676,0),MATCH($R$1,'Base de dados IHS'!$A$1:$V$1,0))</f>
        <v>3.1836222854475849E-2</v>
      </c>
      <c r="S3" s="131">
        <f>INDEX('Base de dados IHS'!$A$1:$V$676,MATCH($N3,'Base de dados IHS'!$C$1:$C$676,0),MATCH($S$1,'Base de dados IHS'!$A$1:$V$1,0))</f>
        <v>3.9250252553643325E-3</v>
      </c>
      <c r="T3" t="str">
        <f>IF(Q3&lt;'Cenario A ranking setor PIB'!$G$44,"N","Y")</f>
        <v>Y</v>
      </c>
    </row>
    <row r="4" spans="1:20" hidden="1" x14ac:dyDescent="0.45">
      <c r="A4" s="293" t="s">
        <v>126</v>
      </c>
      <c r="B4" s="297" t="s">
        <v>3</v>
      </c>
      <c r="C4" s="297" t="s">
        <v>958</v>
      </c>
      <c r="D4" s="311">
        <v>663.44191636000005</v>
      </c>
      <c r="E4" s="311">
        <v>2004.1150200300001</v>
      </c>
      <c r="F4" s="302">
        <f t="shared" si="0"/>
        <v>2.0207844433852706</v>
      </c>
      <c r="G4" s="311">
        <v>922.79277537999997</v>
      </c>
      <c r="H4" s="311">
        <v>2004.1150200300001</v>
      </c>
      <c r="I4" s="302">
        <f t="shared" si="1"/>
        <v>1.1717931408866078</v>
      </c>
      <c r="J4" s="311">
        <v>2399.19464681</v>
      </c>
      <c r="K4" s="311">
        <v>2646.7235586500001</v>
      </c>
      <c r="L4" s="311">
        <v>2831.5081439999999</v>
      </c>
      <c r="M4" s="312">
        <v>3317.6261451999999</v>
      </c>
      <c r="N4" t="str">
        <f t="shared" si="2"/>
        <v>FinlandManufacture of basic metals (C24)</v>
      </c>
      <c r="O4" s="11">
        <f>INDEX('Base de dados IHS'!$A$1:$V$676,MATCH($N4,'Base de dados IHS'!$C$1:$C$676,0),MATCH($O$1,'Base de dados IHS'!$A$1:$V$1,0))</f>
        <v>247207.29862345001</v>
      </c>
      <c r="P4" s="11">
        <f>INDEX('Base de dados IHS'!$A$1:$V$676,MATCH($N4,'Base de dados IHS'!$C$1:$C$676,0),MATCH($P$1,'Base de dados IHS'!$A$1:$V$1,0))</f>
        <v>270499.52733732999</v>
      </c>
      <c r="Q4" s="131">
        <f>INDEX('Base de dados IHS'!$A$1:$V$676,MATCH($N4,'Base de dados IHS'!$C$1:$C$676,0),MATCH($Q$1,'Base de dados IHS'!$A$1:$V$1,0))</f>
        <v>3.7328702692779802E-3</v>
      </c>
      <c r="R4" s="131">
        <f>INDEX('Base de dados IHS'!$A$1:$V$676,MATCH($N4,'Base de dados IHS'!$C$1:$C$676,0),MATCH($R$1,'Base de dados IHS'!$A$1:$V$1,0))</f>
        <v>7.4089409314595294E-3</v>
      </c>
      <c r="S4" s="131">
        <f>INDEX('Base de dados IHS'!$A$1:$V$676,MATCH($N4,'Base de dados IHS'!$C$1:$C$676,0),MATCH($S$1,'Base de dados IHS'!$A$1:$V$1,0))</f>
        <v>3.6760706621815492E-3</v>
      </c>
      <c r="T4" t="str">
        <f>IF(Q4&lt;'Cenario A ranking setor PIB'!$G$44,"N","Y")</f>
        <v>N</v>
      </c>
    </row>
    <row r="5" spans="1:20" hidden="1" x14ac:dyDescent="0.45">
      <c r="A5" s="293" t="s">
        <v>70</v>
      </c>
      <c r="B5" s="297" t="s">
        <v>3</v>
      </c>
      <c r="C5" s="297" t="s">
        <v>958</v>
      </c>
      <c r="D5" s="311">
        <v>14036.98881682</v>
      </c>
      <c r="E5" s="311">
        <v>24191.715915029999</v>
      </c>
      <c r="F5" s="302">
        <f t="shared" si="0"/>
        <v>0.72342631533922508</v>
      </c>
      <c r="G5" s="311">
        <v>13115.638021749999</v>
      </c>
      <c r="H5" s="311">
        <v>24191.715915029999</v>
      </c>
      <c r="I5" s="302">
        <f t="shared" si="1"/>
        <v>0.84449402117626726</v>
      </c>
      <c r="J5" s="311">
        <v>37462.88471323</v>
      </c>
      <c r="K5" s="311">
        <v>48964.340926539997</v>
      </c>
      <c r="L5" s="311">
        <v>58296.892910119997</v>
      </c>
      <c r="M5" s="312">
        <v>83848.52222323</v>
      </c>
      <c r="N5" t="str">
        <f t="shared" si="2"/>
        <v>IndiaManufacture of basic metals (C24)</v>
      </c>
      <c r="O5" s="11">
        <f>INDEX('Base de dados IHS'!$A$1:$V$676,MATCH($N5,'Base de dados IHS'!$C$1:$C$676,0),MATCH($O$1,'Base de dados IHS'!$A$1:$V$1,0))</f>
        <v>2233583.9807687998</v>
      </c>
      <c r="P5" s="11">
        <f>INDEX('Base de dados IHS'!$A$1:$V$676,MATCH($N5,'Base de dados IHS'!$C$1:$C$676,0),MATCH($P$1,'Base de dados IHS'!$A$1:$V$1,0))</f>
        <v>2928405.219999</v>
      </c>
      <c r="Q5" s="131">
        <f>INDEX('Base de dados IHS'!$A$1:$V$676,MATCH($N5,'Base de dados IHS'!$C$1:$C$676,0),MATCH($Q$1,'Base de dados IHS'!$A$1:$V$1,0))</f>
        <v>5.8720147237246905E-3</v>
      </c>
      <c r="R5" s="131">
        <f>INDEX('Base de dados IHS'!$A$1:$V$676,MATCH($N5,'Base de dados IHS'!$C$1:$C$676,0),MATCH($R$1,'Base de dados IHS'!$A$1:$V$1,0))</f>
        <v>8.2610547713196127E-3</v>
      </c>
      <c r="S5" s="131">
        <f>INDEX('Base de dados IHS'!$A$1:$V$676,MATCH($N5,'Base de dados IHS'!$C$1:$C$676,0),MATCH($S$1,'Base de dados IHS'!$A$1:$V$1,0))</f>
        <v>2.3890400475949222E-3</v>
      </c>
      <c r="T5" t="str">
        <f>IF(Q5&lt;'Cenario A ranking setor PIB'!$G$44,"N","Y")</f>
        <v>N</v>
      </c>
    </row>
    <row r="6" spans="1:20" hidden="1" x14ac:dyDescent="0.45">
      <c r="A6" s="293" t="s">
        <v>155</v>
      </c>
      <c r="B6" s="297" t="s">
        <v>3</v>
      </c>
      <c r="C6" s="297" t="s">
        <v>958</v>
      </c>
      <c r="D6" s="311">
        <v>754.15658647999999</v>
      </c>
      <c r="E6" s="311">
        <v>1242.2082725099999</v>
      </c>
      <c r="F6" s="302">
        <f t="shared" si="0"/>
        <v>0.64714900695618716</v>
      </c>
      <c r="G6" s="311">
        <v>1015.0040406099999</v>
      </c>
      <c r="H6" s="311">
        <v>1242.2082725099999</v>
      </c>
      <c r="I6" s="302">
        <f t="shared" si="1"/>
        <v>0.22384564278527819</v>
      </c>
      <c r="J6" s="311">
        <v>1278.8798683299999</v>
      </c>
      <c r="K6" s="311">
        <v>1455.31246732</v>
      </c>
      <c r="L6" s="311">
        <v>1541.3678094899999</v>
      </c>
      <c r="M6" s="312">
        <v>1709.09444031</v>
      </c>
      <c r="N6" t="str">
        <f t="shared" si="2"/>
        <v>QatarManufacture of basic metals (C24)</v>
      </c>
      <c r="O6" s="11">
        <f>INDEX('Base de dados IHS'!$A$1:$V$676,MATCH($N6,'Base de dados IHS'!$C$1:$C$676,0),MATCH($O$1,'Base de dados IHS'!$A$1:$V$1,0))</f>
        <v>170576.82347613</v>
      </c>
      <c r="P6" s="11">
        <f>INDEX('Base de dados IHS'!$A$1:$V$676,MATCH($N6,'Base de dados IHS'!$C$1:$C$676,0),MATCH($P$1,'Base de dados IHS'!$A$1:$V$1,0))</f>
        <v>172715.39534024999</v>
      </c>
      <c r="Q6" s="131">
        <f>INDEX('Base de dados IHS'!$A$1:$V$676,MATCH($N6,'Base de dados IHS'!$C$1:$C$676,0),MATCH($Q$1,'Base de dados IHS'!$A$1:$V$1,0))</f>
        <v>5.9504217508894843E-3</v>
      </c>
      <c r="R6" s="131">
        <f>INDEX('Base de dados IHS'!$A$1:$V$676,MATCH($N6,'Base de dados IHS'!$C$1:$C$676,0),MATCH($R$1,'Base de dados IHS'!$A$1:$V$1,0))</f>
        <v>7.1922266689824895E-3</v>
      </c>
      <c r="S6" s="131">
        <f>INDEX('Base de dados IHS'!$A$1:$V$676,MATCH($N6,'Base de dados IHS'!$C$1:$C$676,0),MATCH($S$1,'Base de dados IHS'!$A$1:$V$1,0))</f>
        <v>1.2418049180930053E-3</v>
      </c>
      <c r="T6" t="str">
        <f>IF(Q6&lt;'Cenario A ranking setor PIB'!$G$44,"N","Y")</f>
        <v>N</v>
      </c>
    </row>
    <row r="7" spans="1:20" hidden="1" x14ac:dyDescent="0.45">
      <c r="A7" s="293" t="s">
        <v>165</v>
      </c>
      <c r="B7" s="297" t="s">
        <v>3</v>
      </c>
      <c r="C7" s="297" t="s">
        <v>958</v>
      </c>
      <c r="D7" s="311">
        <v>180.88195099999999</v>
      </c>
      <c r="E7" s="311">
        <v>321.30777390999998</v>
      </c>
      <c r="F7" s="302">
        <f t="shared" si="0"/>
        <v>0.776339607869444</v>
      </c>
      <c r="G7" s="311">
        <v>207.23255961000001</v>
      </c>
      <c r="H7" s="311">
        <v>321.30777390999998</v>
      </c>
      <c r="I7" s="302">
        <f t="shared" si="1"/>
        <v>0.55046955224933325</v>
      </c>
      <c r="J7" s="311">
        <v>308.02997354000001</v>
      </c>
      <c r="K7" s="311">
        <v>359.81077525000001</v>
      </c>
      <c r="L7" s="311">
        <v>408.73873571000001</v>
      </c>
      <c r="M7" s="312">
        <v>547.12188090999996</v>
      </c>
      <c r="N7" t="str">
        <f t="shared" si="2"/>
        <v>EcuadorManufacture of basic metals (C24)</v>
      </c>
      <c r="O7" s="11">
        <f>INDEX('Base de dados IHS'!$A$1:$V$676,MATCH($N7,'Base de dados IHS'!$C$1:$C$676,0),MATCH($O$1,'Base de dados IHS'!$A$1:$V$1,0))</f>
        <v>105544.34131757999</v>
      </c>
      <c r="P7" s="11">
        <f>INDEX('Base de dados IHS'!$A$1:$V$676,MATCH($N7,'Base de dados IHS'!$C$1:$C$676,0),MATCH($P$1,'Base de dados IHS'!$A$1:$V$1,0))</f>
        <v>103911.06087433999</v>
      </c>
      <c r="Q7" s="131">
        <f>INDEX('Base de dados IHS'!$A$1:$V$676,MATCH($N7,'Base de dados IHS'!$C$1:$C$676,0),MATCH($Q$1,'Base de dados IHS'!$A$1:$V$1,0))</f>
        <v>1.9634644266379284E-3</v>
      </c>
      <c r="R7" s="131">
        <f>INDEX('Base de dados IHS'!$A$1:$V$676,MATCH($N7,'Base de dados IHS'!$C$1:$C$676,0),MATCH($R$1,'Base de dados IHS'!$A$1:$V$1,0))</f>
        <v>3.0921421762651292E-3</v>
      </c>
      <c r="S7" s="131">
        <f>INDEX('Base de dados IHS'!$A$1:$V$676,MATCH($N7,'Base de dados IHS'!$C$1:$C$676,0),MATCH($S$1,'Base de dados IHS'!$A$1:$V$1,0))</f>
        <v>1.1286777496272008E-3</v>
      </c>
      <c r="T7" t="str">
        <f>IF(Q7&lt;'Cenario A ranking setor PIB'!$G$44,"N","Y")</f>
        <v>N</v>
      </c>
    </row>
    <row r="8" spans="1:20" x14ac:dyDescent="0.45">
      <c r="A8" s="293" t="s">
        <v>153</v>
      </c>
      <c r="B8" s="297" t="s">
        <v>3</v>
      </c>
      <c r="C8" s="297" t="s">
        <v>958</v>
      </c>
      <c r="D8" s="311">
        <v>1292.9391446</v>
      </c>
      <c r="E8" s="311">
        <v>1353.1725489200001</v>
      </c>
      <c r="F8" s="302">
        <f t="shared" si="0"/>
        <v>4.6586418681472175E-2</v>
      </c>
      <c r="G8" s="311">
        <v>1214.31282317</v>
      </c>
      <c r="H8" s="311">
        <v>1353.1725489200001</v>
      </c>
      <c r="I8" s="302">
        <f t="shared" si="1"/>
        <v>0.11435251534897128</v>
      </c>
      <c r="J8" s="311">
        <v>1600.3289062199999</v>
      </c>
      <c r="K8" s="311">
        <v>1814.78124211</v>
      </c>
      <c r="L8" s="311">
        <v>1936.9237881500001</v>
      </c>
      <c r="M8" s="312">
        <v>2242.9035233999998</v>
      </c>
      <c r="N8" t="str">
        <f t="shared" si="2"/>
        <v>OmanManufacture of basic metals (C24)</v>
      </c>
      <c r="O8" s="11">
        <f>INDEX('Base de dados IHS'!$A$1:$V$676,MATCH($N8,'Base de dados IHS'!$C$1:$C$676,0),MATCH($O$1,'Base de dados IHS'!$A$1:$V$1,0))</f>
        <v>83456.391863790006</v>
      </c>
      <c r="P8" s="11">
        <f>INDEX('Base de dados IHS'!$A$1:$V$676,MATCH($N8,'Base de dados IHS'!$C$1:$C$676,0),MATCH($P$1,'Base de dados IHS'!$A$1:$V$1,0))</f>
        <v>87715.792114070005</v>
      </c>
      <c r="Q8" s="131">
        <f>INDEX('Base de dados IHS'!$A$1:$V$676,MATCH($N8,'Base de dados IHS'!$C$1:$C$676,0),MATCH($Q$1,'Base de dados IHS'!$A$1:$V$1,0))</f>
        <v>1.4550267463658048E-2</v>
      </c>
      <c r="R8" s="131">
        <f>INDEX('Base de dados IHS'!$A$1:$V$676,MATCH($N8,'Base de dados IHS'!$C$1:$C$676,0),MATCH($R$1,'Base de dados IHS'!$A$1:$V$1,0))</f>
        <v>1.5426783664682258E-2</v>
      </c>
      <c r="S8" s="131">
        <f>INDEX('Base de dados IHS'!$A$1:$V$676,MATCH($N8,'Base de dados IHS'!$C$1:$C$676,0),MATCH($S$1,'Base de dados IHS'!$A$1:$V$1,0))</f>
        <v>8.7651620102421023E-4</v>
      </c>
      <c r="T8" t="str">
        <f>IF(Q8&lt;'Cenario A ranking setor PIB'!$G$44,"N","Y")</f>
        <v>Y</v>
      </c>
    </row>
    <row r="9" spans="1:20" hidden="1" x14ac:dyDescent="0.45">
      <c r="A9" s="293" t="s">
        <v>150</v>
      </c>
      <c r="B9" s="297" t="s">
        <v>3</v>
      </c>
      <c r="C9" s="297" t="s">
        <v>958</v>
      </c>
      <c r="D9" s="311">
        <v>951.17297513000005</v>
      </c>
      <c r="E9" s="311">
        <v>1689.3654704200001</v>
      </c>
      <c r="F9" s="302">
        <f t="shared" si="0"/>
        <v>0.77608648961994398</v>
      </c>
      <c r="G9" s="311">
        <v>1158.5444601300001</v>
      </c>
      <c r="H9" s="311">
        <v>1689.3654704200001</v>
      </c>
      <c r="I9" s="302">
        <f t="shared" si="1"/>
        <v>0.458179231404237</v>
      </c>
      <c r="J9" s="311">
        <v>1825.70389045</v>
      </c>
      <c r="K9" s="311">
        <v>2105.5298079200002</v>
      </c>
      <c r="L9" s="311">
        <v>2323.1082857900001</v>
      </c>
      <c r="M9" s="312">
        <v>2860.6022729199999</v>
      </c>
      <c r="N9" t="str">
        <f t="shared" si="2"/>
        <v>PhilippinesManufacture of basic metals (C24)</v>
      </c>
      <c r="O9" s="11">
        <f>INDEX('Base de dados IHS'!$A$1:$V$676,MATCH($N9,'Base de dados IHS'!$C$1:$C$676,0),MATCH($O$1,'Base de dados IHS'!$A$1:$V$1,0))</f>
        <v>291518.00825125998</v>
      </c>
      <c r="P9" s="11">
        <f>INDEX('Base de dados IHS'!$A$1:$V$676,MATCH($N9,'Base de dados IHS'!$C$1:$C$676,0),MATCH($P$1,'Base de dados IHS'!$A$1:$V$1,0))</f>
        <v>360513.15606205998</v>
      </c>
      <c r="Q9" s="131">
        <f>INDEX('Base de dados IHS'!$A$1:$V$676,MATCH($N9,'Base de dados IHS'!$C$1:$C$676,0),MATCH($Q$1,'Base de dados IHS'!$A$1:$V$1,0))</f>
        <v>3.9741780176113448E-3</v>
      </c>
      <c r="R9" s="131">
        <f>INDEX('Base de dados IHS'!$A$1:$V$676,MATCH($N9,'Base de dados IHS'!$C$1:$C$676,0),MATCH($R$1,'Base de dados IHS'!$A$1:$V$1,0))</f>
        <v>4.6860022776233634E-3</v>
      </c>
      <c r="S9" s="131">
        <f>INDEX('Base de dados IHS'!$A$1:$V$676,MATCH($N9,'Base de dados IHS'!$C$1:$C$676,0),MATCH($S$1,'Base de dados IHS'!$A$1:$V$1,0))</f>
        <v>7.1182426001201865E-4</v>
      </c>
      <c r="T9" t="str">
        <f>IF(Q9&lt;'Cenario A ranking setor PIB'!$G$44,"N","Y")</f>
        <v>N</v>
      </c>
    </row>
    <row r="10" spans="1:20" hidden="1" x14ac:dyDescent="0.45">
      <c r="A10" s="293" t="s">
        <v>161</v>
      </c>
      <c r="B10" s="297" t="s">
        <v>3</v>
      </c>
      <c r="C10" s="297" t="s">
        <v>958</v>
      </c>
      <c r="D10" s="311">
        <v>413.57756318000003</v>
      </c>
      <c r="E10" s="311">
        <v>578.29132509999999</v>
      </c>
      <c r="F10" s="302">
        <f t="shared" si="0"/>
        <v>0.39826571019354873</v>
      </c>
      <c r="G10" s="311">
        <v>415.05242141999997</v>
      </c>
      <c r="H10" s="311">
        <v>578.29132509999999</v>
      </c>
      <c r="I10" s="302">
        <f t="shared" si="1"/>
        <v>0.39329707587662832</v>
      </c>
      <c r="J10" s="311">
        <v>554.26501280000002</v>
      </c>
      <c r="K10" s="311">
        <v>570.34165068000004</v>
      </c>
      <c r="L10" s="311">
        <v>585.46860776000005</v>
      </c>
      <c r="M10" s="312">
        <v>610.32438553999998</v>
      </c>
      <c r="N10" t="str">
        <f t="shared" si="2"/>
        <v>PortugalManufacture of basic metals (C24)</v>
      </c>
      <c r="O10" s="11">
        <f>INDEX('Base de dados IHS'!$A$1:$V$676,MATCH($N10,'Base de dados IHS'!$C$1:$C$676,0),MATCH($O$1,'Base de dados IHS'!$A$1:$V$1,0))</f>
        <v>215192.52938671</v>
      </c>
      <c r="P10" s="11">
        <f>INDEX('Base de dados IHS'!$A$1:$V$676,MATCH($N10,'Base de dados IHS'!$C$1:$C$676,0),MATCH($P$1,'Base de dados IHS'!$A$1:$V$1,0))</f>
        <v>232686.90641277001</v>
      </c>
      <c r="Q10" s="131">
        <f>INDEX('Base de dados IHS'!$A$1:$V$676,MATCH($N10,'Base de dados IHS'!$C$1:$C$676,0),MATCH($Q$1,'Base de dados IHS'!$A$1:$V$1,0))</f>
        <v>1.9287492117076861E-3</v>
      </c>
      <c r="R10" s="131">
        <f>INDEX('Base de dados IHS'!$A$1:$V$676,MATCH($N10,'Base de dados IHS'!$C$1:$C$676,0),MATCH($R$1,'Base de dados IHS'!$A$1:$V$1,0))</f>
        <v>2.4852766063001084E-3</v>
      </c>
      <c r="S10" s="131">
        <f>INDEX('Base de dados IHS'!$A$1:$V$676,MATCH($N10,'Base de dados IHS'!$C$1:$C$676,0),MATCH($S$1,'Base de dados IHS'!$A$1:$V$1,0))</f>
        <v>5.5652739459242234E-4</v>
      </c>
      <c r="T10" t="str">
        <f>IF(Q10&lt;'Cenario A ranking setor PIB'!$G$44,"N","Y")</f>
        <v>N</v>
      </c>
    </row>
    <row r="11" spans="1:20" hidden="1" x14ac:dyDescent="0.45">
      <c r="A11" s="293" t="s">
        <v>105</v>
      </c>
      <c r="B11" s="297" t="s">
        <v>3</v>
      </c>
      <c r="C11" s="297" t="s">
        <v>958</v>
      </c>
      <c r="D11" s="311">
        <v>2648.4915211399998</v>
      </c>
      <c r="E11" s="311">
        <v>3666.7461781500001</v>
      </c>
      <c r="F11" s="302">
        <f t="shared" si="0"/>
        <v>0.38446589271001685</v>
      </c>
      <c r="G11" s="311">
        <v>3158.5169344800001</v>
      </c>
      <c r="H11" s="311">
        <v>3666.7461781500001</v>
      </c>
      <c r="I11" s="302">
        <f t="shared" si="1"/>
        <v>0.16090755699990322</v>
      </c>
      <c r="J11" s="311">
        <v>4104.1571812599996</v>
      </c>
      <c r="K11" s="311">
        <v>4551.66780328</v>
      </c>
      <c r="L11" s="311">
        <v>5109.7685781700002</v>
      </c>
      <c r="M11" s="312">
        <v>6192.9242941700004</v>
      </c>
      <c r="N11" t="str">
        <f t="shared" si="2"/>
        <v>Saudi ArabiaManufacture of basic metals (C24)</v>
      </c>
      <c r="O11" s="11">
        <f>INDEX('Base de dados IHS'!$A$1:$V$676,MATCH($N11,'Base de dados IHS'!$C$1:$C$676,0),MATCH($O$1,'Base de dados IHS'!$A$1:$V$1,0))</f>
        <v>791157.39281293005</v>
      </c>
      <c r="P11" s="11">
        <f>INDEX('Base de dados IHS'!$A$1:$V$676,MATCH($N11,'Base de dados IHS'!$C$1:$C$676,0),MATCH($P$1,'Base de dados IHS'!$A$1:$V$1,0))</f>
        <v>836861.61444072996</v>
      </c>
      <c r="Q11" s="131">
        <f>INDEX('Base de dados IHS'!$A$1:$V$676,MATCH($N11,'Base de dados IHS'!$C$1:$C$676,0),MATCH($Q$1,'Base de dados IHS'!$A$1:$V$1,0))</f>
        <v>3.9922738043943612E-3</v>
      </c>
      <c r="R11" s="131">
        <f>INDEX('Base de dados IHS'!$A$1:$V$676,MATCH($N11,'Base de dados IHS'!$C$1:$C$676,0),MATCH($R$1,'Base de dados IHS'!$A$1:$V$1,0))</f>
        <v>4.3815442301060334E-3</v>
      </c>
      <c r="S11" s="131">
        <f>INDEX('Base de dados IHS'!$A$1:$V$676,MATCH($N11,'Base de dados IHS'!$C$1:$C$676,0),MATCH($S$1,'Base de dados IHS'!$A$1:$V$1,0))</f>
        <v>3.8927042571167223E-4</v>
      </c>
      <c r="T11" t="str">
        <f>IF(Q11&lt;'Cenario A ranking setor PIB'!$G$44,"N","Y")</f>
        <v>N</v>
      </c>
    </row>
    <row r="12" spans="1:20" hidden="1" x14ac:dyDescent="0.45">
      <c r="A12" s="293" t="s">
        <v>154</v>
      </c>
      <c r="B12" s="297" t="s">
        <v>3</v>
      </c>
      <c r="C12" s="297" t="s">
        <v>958</v>
      </c>
      <c r="D12" s="311">
        <v>735.54734510000003</v>
      </c>
      <c r="E12" s="311">
        <v>1300.11530019</v>
      </c>
      <c r="F12" s="302">
        <f t="shared" si="0"/>
        <v>0.76754808354755877</v>
      </c>
      <c r="G12" s="311">
        <v>938.48350577999997</v>
      </c>
      <c r="H12" s="311">
        <v>1300.11530019</v>
      </c>
      <c r="I12" s="302">
        <f t="shared" si="1"/>
        <v>0.3853363348239538</v>
      </c>
      <c r="J12" s="311">
        <v>1591.7277087299999</v>
      </c>
      <c r="K12" s="311">
        <v>1969.46691498</v>
      </c>
      <c r="L12" s="311">
        <v>2268.81906828</v>
      </c>
      <c r="M12" s="312">
        <v>3123.3033452</v>
      </c>
      <c r="N12" t="str">
        <f t="shared" si="2"/>
        <v>PakistanManufacture of basic metals (C24)</v>
      </c>
      <c r="O12" s="11">
        <f>INDEX('Base de dados IHS'!$A$1:$V$676,MATCH($N12,'Base de dados IHS'!$C$1:$C$676,0),MATCH($O$1,'Base de dados IHS'!$A$1:$V$1,0))</f>
        <v>243681.57424943999</v>
      </c>
      <c r="P12" s="11">
        <f>INDEX('Base de dados IHS'!$A$1:$V$676,MATCH($N12,'Base de dados IHS'!$C$1:$C$676,0),MATCH($P$1,'Base de dados IHS'!$A$1:$V$1,0))</f>
        <v>307178.14587732003</v>
      </c>
      <c r="Q12" s="131">
        <f>INDEX('Base de dados IHS'!$A$1:$V$676,MATCH($N12,'Base de dados IHS'!$C$1:$C$676,0),MATCH($Q$1,'Base de dados IHS'!$A$1:$V$1,0))</f>
        <v>3.8512698740994643E-3</v>
      </c>
      <c r="R12" s="131">
        <f>INDEX('Base de dados IHS'!$A$1:$V$676,MATCH($N12,'Base de dados IHS'!$C$1:$C$676,0),MATCH($R$1,'Base de dados IHS'!$A$1:$V$1,0))</f>
        <v>4.2324472545948516E-3</v>
      </c>
      <c r="S12" s="131">
        <f>INDEX('Base de dados IHS'!$A$1:$V$676,MATCH($N12,'Base de dados IHS'!$C$1:$C$676,0),MATCH($S$1,'Base de dados IHS'!$A$1:$V$1,0))</f>
        <v>3.8117738049538727E-4</v>
      </c>
      <c r="T12" t="str">
        <f>IF(Q12&lt;'Cenario A ranking setor PIB'!$G$44,"N","Y")</f>
        <v>N</v>
      </c>
    </row>
    <row r="13" spans="1:20" x14ac:dyDescent="0.45">
      <c r="A13" s="294" t="s">
        <v>18</v>
      </c>
      <c r="B13" s="299" t="s">
        <v>3</v>
      </c>
      <c r="C13" s="297" t="s">
        <v>958</v>
      </c>
      <c r="D13" s="313">
        <v>23775.659263040001</v>
      </c>
      <c r="E13" s="313">
        <v>18902.200928599999</v>
      </c>
      <c r="F13" s="304">
        <f t="shared" si="0"/>
        <v>-0.2049767907809793</v>
      </c>
      <c r="G13" s="313">
        <v>17795.953809850002</v>
      </c>
      <c r="H13" s="313">
        <v>18902.200928599999</v>
      </c>
      <c r="I13" s="304">
        <f t="shared" si="1"/>
        <v>6.2162845024788416E-2</v>
      </c>
      <c r="J13" s="313">
        <v>17824.35477672</v>
      </c>
      <c r="K13" s="313">
        <v>19739.077264420001</v>
      </c>
      <c r="L13" s="313">
        <v>21285.014560290001</v>
      </c>
      <c r="M13" s="314">
        <v>24903.208569009999</v>
      </c>
      <c r="N13" t="str">
        <f t="shared" si="2"/>
        <v>BrazilManufacture of basic metals (C24)</v>
      </c>
      <c r="O13" s="11">
        <f>INDEX('Base de dados IHS'!$A$1:$V$676,MATCH($N13,'Base de dados IHS'!$C$1:$C$676,0),MATCH($O$1,'Base de dados IHS'!$A$1:$V$1,0))</f>
        <v>1855726.8356911</v>
      </c>
      <c r="P13" s="11">
        <f>INDEX('Base de dados IHS'!$A$1:$V$676,MATCH($N13,'Base de dados IHS'!$C$1:$C$676,0),MATCH($P$1,'Base de dados IHS'!$A$1:$V$1,0))</f>
        <v>1898091.4722179</v>
      </c>
      <c r="Q13" s="131">
        <f>INDEX('Base de dados IHS'!$A$1:$V$676,MATCH($N13,'Base de dados IHS'!$C$1:$C$676,0),MATCH($Q$1,'Base de dados IHS'!$A$1:$V$1,0))</f>
        <v>9.589748592077953E-3</v>
      </c>
      <c r="R13" s="131">
        <f>INDEX('Base de dados IHS'!$A$1:$V$676,MATCH($N13,'Base de dados IHS'!$C$1:$C$676,0),MATCH($R$1,'Base de dados IHS'!$A$1:$V$1,0))</f>
        <v>9.9585300314915682E-3</v>
      </c>
      <c r="S13" s="131">
        <f>INDEX('Base de dados IHS'!$A$1:$V$676,MATCH($N13,'Base de dados IHS'!$C$1:$C$676,0),MATCH($S$1,'Base de dados IHS'!$A$1:$V$1,0))</f>
        <v>3.6878143941361519E-4</v>
      </c>
      <c r="T13" t="str">
        <f>IF(Q13&lt;'Cenario A ranking setor PIB'!$G$44,"N","Y")</f>
        <v>Y</v>
      </c>
    </row>
    <row r="14" spans="1:20" x14ac:dyDescent="0.45">
      <c r="A14" s="293" t="s">
        <v>99</v>
      </c>
      <c r="B14" s="297" t="s">
        <v>3</v>
      </c>
      <c r="C14" s="297" t="s">
        <v>958</v>
      </c>
      <c r="D14" s="311">
        <v>9021.0809487099996</v>
      </c>
      <c r="E14" s="311">
        <v>14713.1212216</v>
      </c>
      <c r="F14" s="302">
        <f t="shared" si="0"/>
        <v>0.63097097845064276</v>
      </c>
      <c r="G14" s="311">
        <v>11577.513389309999</v>
      </c>
      <c r="H14" s="311">
        <v>14713.1212216</v>
      </c>
      <c r="I14" s="302">
        <f t="shared" si="1"/>
        <v>0.27083603593024042</v>
      </c>
      <c r="J14" s="311">
        <v>22100.92953985</v>
      </c>
      <c r="K14" s="311">
        <v>27653.00592625</v>
      </c>
      <c r="L14" s="311">
        <v>32218.504517910002</v>
      </c>
      <c r="M14" s="312">
        <v>44409.883858369998</v>
      </c>
      <c r="N14" t="str">
        <f t="shared" si="2"/>
        <v>IndonesiaManufacture of basic metals (C24)</v>
      </c>
      <c r="O14" s="11">
        <f>INDEX('Base de dados IHS'!$A$1:$V$676,MATCH($N14,'Base de dados IHS'!$C$1:$C$676,0),MATCH($O$1,'Base de dados IHS'!$A$1:$V$1,0))</f>
        <v>917924.88667253999</v>
      </c>
      <c r="P14" s="11">
        <f>INDEX('Base de dados IHS'!$A$1:$V$676,MATCH($N14,'Base de dados IHS'!$C$1:$C$676,0),MATCH($P$1,'Base de dados IHS'!$A$1:$V$1,0))</f>
        <v>1136354.4627425</v>
      </c>
      <c r="Q14" s="131">
        <f>INDEX('Base de dados IHS'!$A$1:$V$676,MATCH($N14,'Base de dados IHS'!$C$1:$C$676,0),MATCH($Q$1,'Base de dados IHS'!$A$1:$V$1,0))</f>
        <v>1.2612702365308192E-2</v>
      </c>
      <c r="R14" s="131">
        <f>INDEX('Base de dados IHS'!$A$1:$V$676,MATCH($N14,'Base de dados IHS'!$C$1:$C$676,0),MATCH($R$1,'Base de dados IHS'!$A$1:$V$1,0))</f>
        <v>1.2947651198633099E-2</v>
      </c>
      <c r="S14" s="131">
        <f>INDEX('Base de dados IHS'!$A$1:$V$676,MATCH($N14,'Base de dados IHS'!$C$1:$C$676,0),MATCH($S$1,'Base de dados IHS'!$A$1:$V$1,0))</f>
        <v>3.3494883332490719E-4</v>
      </c>
      <c r="T14" t="str">
        <f>IF(Q14&lt;'Cenario A ranking setor PIB'!$G$44,"N","Y")</f>
        <v>Y</v>
      </c>
    </row>
    <row r="15" spans="1:20" hidden="1" x14ac:dyDescent="0.45">
      <c r="A15" s="293" t="s">
        <v>127</v>
      </c>
      <c r="B15" s="297" t="s">
        <v>3</v>
      </c>
      <c r="C15" s="297" t="s">
        <v>958</v>
      </c>
      <c r="D15" s="311">
        <v>220.98536041</v>
      </c>
      <c r="E15" s="311">
        <v>721.65800865000006</v>
      </c>
      <c r="F15" s="302">
        <f t="shared" si="0"/>
        <v>2.2656371775537023</v>
      </c>
      <c r="G15" s="311">
        <v>362.20433308999998</v>
      </c>
      <c r="H15" s="311">
        <v>721.65800865000006</v>
      </c>
      <c r="I15" s="302">
        <f t="shared" si="1"/>
        <v>0.99240578513643452</v>
      </c>
      <c r="J15" s="311">
        <v>1155.58305849</v>
      </c>
      <c r="K15" s="311">
        <v>1241.1974141400001</v>
      </c>
      <c r="L15" s="311">
        <v>1291.95413592</v>
      </c>
      <c r="M15" s="312">
        <v>1420.3628315200001</v>
      </c>
      <c r="N15" t="str">
        <f t="shared" si="2"/>
        <v>IrelandManufacture of basic metals (C24)</v>
      </c>
      <c r="O15" s="11">
        <f>INDEX('Base de dados IHS'!$A$1:$V$676,MATCH($N15,'Base de dados IHS'!$C$1:$C$676,0),MATCH($O$1,'Base de dados IHS'!$A$1:$V$1,0))</f>
        <v>308812.05776281998</v>
      </c>
      <c r="P15" s="11">
        <f>INDEX('Base de dados IHS'!$A$1:$V$676,MATCH($N15,'Base de dados IHS'!$C$1:$C$676,0),MATCH($P$1,'Base de dados IHS'!$A$1:$V$1,0))</f>
        <v>483748.84960921999</v>
      </c>
      <c r="Q15" s="131">
        <f>INDEX('Base de dados IHS'!$A$1:$V$676,MATCH($N15,'Base de dados IHS'!$C$1:$C$676,0),MATCH($Q$1,'Base de dados IHS'!$A$1:$V$1,0))</f>
        <v>1.1728956949219496E-3</v>
      </c>
      <c r="R15" s="131">
        <f>INDEX('Base de dados IHS'!$A$1:$V$676,MATCH($N15,'Base de dados IHS'!$C$1:$C$676,0),MATCH($R$1,'Base de dados IHS'!$A$1:$V$1,0))</f>
        <v>1.4918030486955512E-3</v>
      </c>
      <c r="S15" s="131">
        <f>INDEX('Base de dados IHS'!$A$1:$V$676,MATCH($N15,'Base de dados IHS'!$C$1:$C$676,0),MATCH($S$1,'Base de dados IHS'!$A$1:$V$1,0))</f>
        <v>3.1890735377360156E-4</v>
      </c>
      <c r="T15" t="str">
        <f>IF(Q15&lt;'Cenario A ranking setor PIB'!$G$44,"N","Y")</f>
        <v>N</v>
      </c>
    </row>
    <row r="16" spans="1:20" hidden="1" x14ac:dyDescent="0.45">
      <c r="A16" s="293" t="s">
        <v>109</v>
      </c>
      <c r="B16" s="297" t="s">
        <v>3</v>
      </c>
      <c r="C16" s="297" t="s">
        <v>958</v>
      </c>
      <c r="D16" s="311">
        <v>4495.6668373399998</v>
      </c>
      <c r="E16" s="311">
        <v>4698.8037965800004</v>
      </c>
      <c r="F16" s="302">
        <f t="shared" si="0"/>
        <v>4.5185056319741124E-2</v>
      </c>
      <c r="G16" s="311">
        <v>4163.0137165400001</v>
      </c>
      <c r="H16" s="311">
        <v>4698.8037965800004</v>
      </c>
      <c r="I16" s="302">
        <f t="shared" si="1"/>
        <v>0.12870245368427735</v>
      </c>
      <c r="J16" s="311">
        <v>4279.1083666499999</v>
      </c>
      <c r="K16" s="311">
        <v>4948.9446198599999</v>
      </c>
      <c r="L16" s="311">
        <v>5486.7879240700004</v>
      </c>
      <c r="M16" s="312">
        <v>6874.5781623299999</v>
      </c>
      <c r="N16" t="str">
        <f t="shared" si="2"/>
        <v>ThailandManufacture of basic metals (C24)</v>
      </c>
      <c r="O16" s="11">
        <f>INDEX('Base de dados IHS'!$A$1:$V$676,MATCH($N16,'Base de dados IHS'!$C$1:$C$676,0),MATCH($O$1,'Base de dados IHS'!$A$1:$V$1,0))</f>
        <v>474324.68093352998</v>
      </c>
      <c r="P16" s="11">
        <f>INDEX('Base de dados IHS'!$A$1:$V$676,MATCH($N16,'Base de dados IHS'!$C$1:$C$676,0),MATCH($P$1,'Base de dados IHS'!$A$1:$V$1,0))</f>
        <v>518585.14704719</v>
      </c>
      <c r="Q16" s="131">
        <f>INDEX('Base de dados IHS'!$A$1:$V$676,MATCH($N16,'Base de dados IHS'!$C$1:$C$676,0),MATCH($Q$1,'Base de dados IHS'!$A$1:$V$1,0))</f>
        <v>8.7767174761951474E-3</v>
      </c>
      <c r="R16" s="131">
        <f>INDEX('Base de dados IHS'!$A$1:$V$676,MATCH($N16,'Base de dados IHS'!$C$1:$C$676,0),MATCH($R$1,'Base de dados IHS'!$A$1:$V$1,0))</f>
        <v>9.060814455128274E-3</v>
      </c>
      <c r="S16" s="131">
        <f>INDEX('Base de dados IHS'!$A$1:$V$676,MATCH($N16,'Base de dados IHS'!$C$1:$C$676,0),MATCH($S$1,'Base de dados IHS'!$A$1:$V$1,0))</f>
        <v>2.8409697893312658E-4</v>
      </c>
      <c r="T16" t="str">
        <f>IF(Q16&lt;'Cenario A ranking setor PIB'!$G$44,"N","Y")</f>
        <v>N</v>
      </c>
    </row>
    <row r="17" spans="1:20" hidden="1" x14ac:dyDescent="0.45">
      <c r="A17" s="293" t="s">
        <v>157</v>
      </c>
      <c r="B17" s="297" t="s">
        <v>3</v>
      </c>
      <c r="C17" s="297" t="s">
        <v>958</v>
      </c>
      <c r="D17" s="311">
        <v>580.32340292000004</v>
      </c>
      <c r="E17" s="311">
        <v>880.19426436000003</v>
      </c>
      <c r="F17" s="302">
        <f t="shared" si="0"/>
        <v>0.51673060216277111</v>
      </c>
      <c r="G17" s="311">
        <v>750.36726923000003</v>
      </c>
      <c r="H17" s="311">
        <v>880.19426436000003</v>
      </c>
      <c r="I17" s="302">
        <f t="shared" si="1"/>
        <v>0.17301793462183368</v>
      </c>
      <c r="J17" s="311">
        <v>1056.7595145400001</v>
      </c>
      <c r="K17" s="311">
        <v>1184.9694204299999</v>
      </c>
      <c r="L17" s="311">
        <v>1270.8505159199999</v>
      </c>
      <c r="M17" s="312">
        <v>1526.8751941600001</v>
      </c>
      <c r="N17" t="str">
        <f t="shared" si="2"/>
        <v>SlovakiaManufacture of basic metals (C24)</v>
      </c>
      <c r="O17" s="11">
        <f>INDEX('Base de dados IHS'!$A$1:$V$676,MATCH($N17,'Base de dados IHS'!$C$1:$C$676,0),MATCH($O$1,'Base de dados IHS'!$A$1:$V$1,0))</f>
        <v>94460.171576160006</v>
      </c>
      <c r="P17" s="11">
        <f>INDEX('Base de dados IHS'!$A$1:$V$676,MATCH($N17,'Base de dados IHS'!$C$1:$C$676,0),MATCH($P$1,'Base de dados IHS'!$A$1:$V$1,0))</f>
        <v>107076.6714533</v>
      </c>
      <c r="Q17" s="131">
        <f>INDEX('Base de dados IHS'!$A$1:$V$676,MATCH($N17,'Base de dados IHS'!$C$1:$C$676,0),MATCH($Q$1,'Base de dados IHS'!$A$1:$V$1,0))</f>
        <v>7.9437423912045776E-3</v>
      </c>
      <c r="R17" s="131">
        <f>INDEX('Base de dados IHS'!$A$1:$V$676,MATCH($N17,'Base de dados IHS'!$C$1:$C$676,0),MATCH($R$1,'Base de dados IHS'!$A$1:$V$1,0))</f>
        <v>8.2202243720648754E-3</v>
      </c>
      <c r="S17" s="131">
        <f>INDEX('Base de dados IHS'!$A$1:$V$676,MATCH($N17,'Base de dados IHS'!$C$1:$C$676,0),MATCH($S$1,'Base de dados IHS'!$A$1:$V$1,0))</f>
        <v>2.7648198086029779E-4</v>
      </c>
      <c r="T17" t="str">
        <f>IF(Q17&lt;'Cenario A ranking setor PIB'!$G$44,"N","Y")</f>
        <v>N</v>
      </c>
    </row>
    <row r="18" spans="1:20" hidden="1" x14ac:dyDescent="0.45">
      <c r="A18" s="293" t="s">
        <v>66</v>
      </c>
      <c r="B18" s="297" t="s">
        <v>3</v>
      </c>
      <c r="C18" s="297" t="s">
        <v>958</v>
      </c>
      <c r="D18" s="311">
        <v>2093.0221083599999</v>
      </c>
      <c r="E18" s="311">
        <v>2717.6470896000001</v>
      </c>
      <c r="F18" s="302">
        <f t="shared" si="0"/>
        <v>0.29843209909016633</v>
      </c>
      <c r="G18" s="311">
        <v>2283.8526779200001</v>
      </c>
      <c r="H18" s="311">
        <v>2717.6470896000001</v>
      </c>
      <c r="I18" s="302">
        <f t="shared" si="1"/>
        <v>0.18993975218886483</v>
      </c>
      <c r="J18" s="311">
        <v>2159.1478766800001</v>
      </c>
      <c r="K18" s="311">
        <v>2208.8238518100002</v>
      </c>
      <c r="L18" s="311">
        <v>2255.32152189</v>
      </c>
      <c r="M18" s="312">
        <v>2349.9289359899999</v>
      </c>
      <c r="N18" t="str">
        <f t="shared" si="2"/>
        <v>NetherlandsManufacture of basic metals (C24)</v>
      </c>
      <c r="O18" s="11">
        <f>INDEX('Base de dados IHS'!$A$1:$V$676,MATCH($N18,'Base de dados IHS'!$C$1:$C$676,0),MATCH($O$1,'Base de dados IHS'!$A$1:$V$1,0))</f>
        <v>829203.89806390996</v>
      </c>
      <c r="P18" s="11">
        <f>INDEX('Base de dados IHS'!$A$1:$V$676,MATCH($N18,'Base de dados IHS'!$C$1:$C$676,0),MATCH($P$1,'Base de dados IHS'!$A$1:$V$1,0))</f>
        <v>928325.09368340997</v>
      </c>
      <c r="Q18" s="131">
        <f>INDEX('Base de dados IHS'!$A$1:$V$676,MATCH($N18,'Base de dados IHS'!$C$1:$C$676,0),MATCH($Q$1,'Base de dados IHS'!$A$1:$V$1,0))</f>
        <v>2.7542715166348321E-3</v>
      </c>
      <c r="R18" s="131">
        <f>INDEX('Base de dados IHS'!$A$1:$V$676,MATCH($N18,'Base de dados IHS'!$C$1:$C$676,0),MATCH($R$1,'Base de dados IHS'!$A$1:$V$1,0))</f>
        <v>2.9274734767934744E-3</v>
      </c>
      <c r="S18" s="131">
        <f>INDEX('Base de dados IHS'!$A$1:$V$676,MATCH($N18,'Base de dados IHS'!$C$1:$C$676,0),MATCH($S$1,'Base de dados IHS'!$A$1:$V$1,0))</f>
        <v>1.7320196015864226E-4</v>
      </c>
      <c r="T18" t="str">
        <f>IF(Q18&lt;'Cenario A ranking setor PIB'!$G$44,"N","Y")</f>
        <v>N</v>
      </c>
    </row>
    <row r="19" spans="1:20" hidden="1" x14ac:dyDescent="0.45">
      <c r="A19" s="293" t="s">
        <v>174</v>
      </c>
      <c r="B19" s="297" t="s">
        <v>3</v>
      </c>
      <c r="C19" s="297" t="s">
        <v>958</v>
      </c>
      <c r="D19" s="311">
        <v>43.929664430000003</v>
      </c>
      <c r="E19" s="311">
        <v>65.232299920000003</v>
      </c>
      <c r="F19" s="302">
        <f t="shared" si="0"/>
        <v>0.48492597806989446</v>
      </c>
      <c r="G19" s="311">
        <v>49.972218230000003</v>
      </c>
      <c r="H19" s="311">
        <v>65.232299920000003</v>
      </c>
      <c r="I19" s="302">
        <f t="shared" si="1"/>
        <v>0.30537130890937436</v>
      </c>
      <c r="J19" s="311">
        <v>52.010171669999998</v>
      </c>
      <c r="K19" s="311">
        <v>61.213290129999997</v>
      </c>
      <c r="L19" s="311">
        <v>68.828726599999996</v>
      </c>
      <c r="M19" s="312">
        <v>87.864550600000001</v>
      </c>
      <c r="N19" t="str">
        <f t="shared" si="2"/>
        <v>Sri LankaManufacture of basic metals (C24)</v>
      </c>
      <c r="O19" s="11">
        <f>INDEX('Base de dados IHS'!$A$1:$V$676,MATCH($N19,'Base de dados IHS'!$C$1:$C$676,0),MATCH($O$1,'Base de dados IHS'!$A$1:$V$1,0))</f>
        <v>77969.257644440004</v>
      </c>
      <c r="P19" s="11">
        <f>INDEX('Base de dados IHS'!$A$1:$V$676,MATCH($N19,'Base de dados IHS'!$C$1:$C$676,0),MATCH($P$1,'Base de dados IHS'!$A$1:$V$1,0))</f>
        <v>87884.425158479993</v>
      </c>
      <c r="Q19" s="131">
        <f>INDEX('Base de dados IHS'!$A$1:$V$676,MATCH($N19,'Base de dados IHS'!$C$1:$C$676,0),MATCH($Q$1,'Base de dados IHS'!$A$1:$V$1,0))</f>
        <v>6.4092207287500739E-4</v>
      </c>
      <c r="R19" s="131">
        <f>INDEX('Base de dados IHS'!$A$1:$V$676,MATCH($N19,'Base de dados IHS'!$C$1:$C$676,0),MATCH($R$1,'Base de dados IHS'!$A$1:$V$1,0))</f>
        <v>7.422509711176704E-4</v>
      </c>
      <c r="S19" s="131">
        <f>INDEX('Base de dados IHS'!$A$1:$V$676,MATCH($N19,'Base de dados IHS'!$C$1:$C$676,0),MATCH($S$1,'Base de dados IHS'!$A$1:$V$1,0))</f>
        <v>1.0132889824266301E-4</v>
      </c>
      <c r="T19" t="str">
        <f>IF(Q19&lt;'Cenario A ranking setor PIB'!$G$44,"N","Y")</f>
        <v>N</v>
      </c>
    </row>
    <row r="20" spans="1:20" x14ac:dyDescent="0.45">
      <c r="A20" s="293" t="s">
        <v>72</v>
      </c>
      <c r="B20" s="297" t="s">
        <v>3</v>
      </c>
      <c r="C20" s="297" t="s">
        <v>958</v>
      </c>
      <c r="D20" s="311">
        <v>4319.4708158800004</v>
      </c>
      <c r="E20" s="311">
        <v>5266.07337517</v>
      </c>
      <c r="F20" s="302">
        <f t="shared" si="0"/>
        <v>0.21914780759947083</v>
      </c>
      <c r="G20" s="311">
        <v>4961.31573974</v>
      </c>
      <c r="H20" s="311">
        <v>5266.07337517</v>
      </c>
      <c r="I20" s="302">
        <f t="shared" si="1"/>
        <v>6.1426776971459374E-2</v>
      </c>
      <c r="J20" s="311">
        <v>5081.1565700600004</v>
      </c>
      <c r="K20" s="311">
        <v>5241.6556501900004</v>
      </c>
      <c r="L20" s="311">
        <v>5426.6060973200001</v>
      </c>
      <c r="M20" s="312">
        <v>5916.2828296600001</v>
      </c>
      <c r="N20" t="str">
        <f t="shared" si="2"/>
        <v>AustriaManufacture of basic metals (C24)</v>
      </c>
      <c r="O20" s="11">
        <f>INDEX('Base de dados IHS'!$A$1:$V$676,MATCH($N20,'Base de dados IHS'!$C$1:$C$676,0),MATCH($O$1,'Base de dados IHS'!$A$1:$V$1,0))</f>
        <v>410010.85265116999</v>
      </c>
      <c r="P20" s="11">
        <f>INDEX('Base de dados IHS'!$A$1:$V$676,MATCH($N20,'Base de dados IHS'!$C$1:$C$676,0),MATCH($P$1,'Base de dados IHS'!$A$1:$V$1,0))</f>
        <v>432694.04992214998</v>
      </c>
      <c r="Q20" s="131">
        <f>INDEX('Base de dados IHS'!$A$1:$V$676,MATCH($N20,'Base de dados IHS'!$C$1:$C$676,0),MATCH($Q$1,'Base de dados IHS'!$A$1:$V$1,0))</f>
        <v>1.2100449799461772E-2</v>
      </c>
      <c r="R20" s="131">
        <f>INDEX('Base de dados IHS'!$A$1:$V$676,MATCH($N20,'Base de dados IHS'!$C$1:$C$676,0),MATCH($R$1,'Base de dados IHS'!$A$1:$V$1,0))</f>
        <v>1.2170431685199897E-2</v>
      </c>
      <c r="S20" s="131">
        <f>INDEX('Base de dados IHS'!$A$1:$V$676,MATCH($N20,'Base de dados IHS'!$C$1:$C$676,0),MATCH($S$1,'Base de dados IHS'!$A$1:$V$1,0))</f>
        <v>6.9981885738125416E-5</v>
      </c>
      <c r="T20" t="str">
        <f>IF(Q20&lt;'Cenario A ranking setor PIB'!$G$44,"N","Y")</f>
        <v>Y</v>
      </c>
    </row>
    <row r="21" spans="1:20" hidden="1" x14ac:dyDescent="0.45">
      <c r="A21" s="293" t="s">
        <v>116</v>
      </c>
      <c r="B21" s="297" t="s">
        <v>3</v>
      </c>
      <c r="C21" s="297" t="s">
        <v>958</v>
      </c>
      <c r="D21" s="311">
        <v>256.49703426000002</v>
      </c>
      <c r="E21" s="311">
        <v>506.75766972999998</v>
      </c>
      <c r="F21" s="302">
        <f t="shared" si="0"/>
        <v>0.97568627330139623</v>
      </c>
      <c r="G21" s="311">
        <v>431.89679833000002</v>
      </c>
      <c r="H21" s="311">
        <v>506.75766972999998</v>
      </c>
      <c r="I21" s="302">
        <f t="shared" si="1"/>
        <v>0.17333046155808929</v>
      </c>
      <c r="J21" s="311">
        <v>503.17940719000001</v>
      </c>
      <c r="K21" s="311">
        <v>514.38119499000004</v>
      </c>
      <c r="L21" s="311">
        <v>521.02831035999998</v>
      </c>
      <c r="M21" s="312">
        <v>527.55331203000003</v>
      </c>
      <c r="N21" t="str">
        <f t="shared" si="2"/>
        <v>DenmarkManufacture of basic metals (C24)</v>
      </c>
      <c r="O21" s="11">
        <f>INDEX('Base de dados IHS'!$A$1:$V$676,MATCH($N21,'Base de dados IHS'!$C$1:$C$676,0),MATCH($O$1,'Base de dados IHS'!$A$1:$V$1,0))</f>
        <v>315318.76572541997</v>
      </c>
      <c r="P21" s="11">
        <f>INDEX('Base de dados IHS'!$A$1:$V$676,MATCH($N21,'Base de dados IHS'!$C$1:$C$676,0),MATCH($P$1,'Base de dados IHS'!$A$1:$V$1,0))</f>
        <v>361238.79673869</v>
      </c>
      <c r="Q21" s="131">
        <f>INDEX('Base de dados IHS'!$A$1:$V$676,MATCH($N21,'Base de dados IHS'!$C$1:$C$676,0),MATCH($Q$1,'Base de dados IHS'!$A$1:$V$1,0))</f>
        <v>1.3697148577135317E-3</v>
      </c>
      <c r="R21" s="131">
        <f>INDEX('Base de dados IHS'!$A$1:$V$676,MATCH($N21,'Base de dados IHS'!$C$1:$C$676,0),MATCH($R$1,'Base de dados IHS'!$A$1:$V$1,0))</f>
        <v>1.4028329025151034E-3</v>
      </c>
      <c r="S21" s="131">
        <f>INDEX('Base de dados IHS'!$A$1:$V$676,MATCH($N21,'Base de dados IHS'!$C$1:$C$676,0),MATCH($S$1,'Base de dados IHS'!$A$1:$V$1,0))</f>
        <v>3.311804480157169E-5</v>
      </c>
      <c r="T21" t="str">
        <f>IF(Q21&lt;'Cenario A ranking setor PIB'!$G$44,"N","Y")</f>
        <v>N</v>
      </c>
    </row>
    <row r="22" spans="1:20" hidden="1" x14ac:dyDescent="0.45">
      <c r="A22" s="293" t="s">
        <v>156</v>
      </c>
      <c r="B22" s="297" t="s">
        <v>3</v>
      </c>
      <c r="C22" s="297" t="s">
        <v>958</v>
      </c>
      <c r="D22" s="311">
        <v>1543.83392506</v>
      </c>
      <c r="E22" s="311">
        <v>1117.18560697</v>
      </c>
      <c r="F22" s="302">
        <f t="shared" si="0"/>
        <v>-0.27635635618864807</v>
      </c>
      <c r="G22" s="311">
        <v>1089.0535045399999</v>
      </c>
      <c r="H22" s="311">
        <v>1117.18560697</v>
      </c>
      <c r="I22" s="302">
        <f t="shared" si="1"/>
        <v>2.5831699097173866E-2</v>
      </c>
      <c r="J22" s="311">
        <v>1123.3500598099999</v>
      </c>
      <c r="K22" s="311">
        <v>1139.5413564800001</v>
      </c>
      <c r="L22" s="311">
        <v>1143.4492648400001</v>
      </c>
      <c r="M22" s="312">
        <v>1148.0125202700001</v>
      </c>
      <c r="N22" t="str">
        <f t="shared" si="2"/>
        <v>GreeceManufacture of basic metals (C24)</v>
      </c>
      <c r="O22" s="11">
        <f>INDEX('Base de dados IHS'!$A$1:$V$676,MATCH($N22,'Base de dados IHS'!$C$1:$C$676,0),MATCH($O$1,'Base de dados IHS'!$A$1:$V$1,0))</f>
        <v>196841.83448053</v>
      </c>
      <c r="P22" s="11">
        <f>INDEX('Base de dados IHS'!$A$1:$V$676,MATCH($N22,'Base de dados IHS'!$C$1:$C$676,0),MATCH($P$1,'Base de dados IHS'!$A$1:$V$1,0))</f>
        <v>201121.93838619001</v>
      </c>
      <c r="Q22" s="131">
        <f>INDEX('Base de dados IHS'!$A$1:$V$676,MATCH($N22,'Base de dados IHS'!$C$1:$C$676,0),MATCH($Q$1,'Base de dados IHS'!$A$1:$V$1,0))</f>
        <v>5.5326323665598649E-3</v>
      </c>
      <c r="R22" s="131">
        <f>INDEX('Base de dados IHS'!$A$1:$V$676,MATCH($N22,'Base de dados IHS'!$C$1:$C$676,0),MATCH($R$1,'Base de dados IHS'!$A$1:$V$1,0))</f>
        <v>5.5547675004245642E-3</v>
      </c>
      <c r="S22" s="131">
        <f>INDEX('Base de dados IHS'!$A$1:$V$676,MATCH($N22,'Base de dados IHS'!$C$1:$C$676,0),MATCH($S$1,'Base de dados IHS'!$A$1:$V$1,0))</f>
        <v>2.2135133864699223E-5</v>
      </c>
      <c r="T22" t="str">
        <f>IF(Q22&lt;'Cenario A ranking setor PIB'!$G$44,"N","Y")</f>
        <v>N</v>
      </c>
    </row>
    <row r="23" spans="1:20" hidden="1" x14ac:dyDescent="0.45">
      <c r="A23" s="293" t="s">
        <v>172</v>
      </c>
      <c r="B23" s="297" t="s">
        <v>3</v>
      </c>
      <c r="C23" s="297" t="s">
        <v>958</v>
      </c>
      <c r="D23" s="311">
        <v>63.452635440000002</v>
      </c>
      <c r="E23" s="311">
        <v>72.885128120000005</v>
      </c>
      <c r="F23" s="302">
        <f t="shared" si="0"/>
        <v>0.14865407267313979</v>
      </c>
      <c r="G23" s="311">
        <v>69.889284480000001</v>
      </c>
      <c r="H23" s="311">
        <v>72.885128120000005</v>
      </c>
      <c r="I23" s="302">
        <f t="shared" si="1"/>
        <v>4.2865564618240093E-2</v>
      </c>
      <c r="J23" s="311">
        <v>57.816220729999998</v>
      </c>
      <c r="K23" s="311">
        <v>63.247005170000001</v>
      </c>
      <c r="L23" s="311">
        <v>67.353415519999999</v>
      </c>
      <c r="M23" s="312">
        <v>74.879737169999999</v>
      </c>
      <c r="N23" t="str">
        <f t="shared" si="2"/>
        <v>UruguayManufacture of basic metals (C24)</v>
      </c>
      <c r="O23" s="11">
        <f>INDEX('Base de dados IHS'!$A$1:$V$676,MATCH($N23,'Base de dados IHS'!$C$1:$C$676,0),MATCH($O$1,'Base de dados IHS'!$A$1:$V$1,0))</f>
        <v>59449.563607900003</v>
      </c>
      <c r="P23" s="11">
        <f>INDEX('Base de dados IHS'!$A$1:$V$676,MATCH($N23,'Base de dados IHS'!$C$1:$C$676,0),MATCH($P$1,'Base de dados IHS'!$A$1:$V$1,0))</f>
        <v>61243.536031950003</v>
      </c>
      <c r="Q23" s="131">
        <f>INDEX('Base de dados IHS'!$A$1:$V$676,MATCH($N23,'Base de dados IHS'!$C$1:$C$676,0),MATCH($Q$1,'Base de dados IHS'!$A$1:$V$1,0))</f>
        <v>1.1756063499633949E-3</v>
      </c>
      <c r="R23" s="131">
        <f>INDEX('Base de dados IHS'!$A$1:$V$676,MATCH($N23,'Base de dados IHS'!$C$1:$C$676,0),MATCH($R$1,'Base de dados IHS'!$A$1:$V$1,0))</f>
        <v>1.1900868702613241E-3</v>
      </c>
      <c r="S23" s="131">
        <f>INDEX('Base de dados IHS'!$A$1:$V$676,MATCH($N23,'Base de dados IHS'!$C$1:$C$676,0),MATCH($S$1,'Base de dados IHS'!$A$1:$V$1,0))</f>
        <v>1.4480520297929182E-5</v>
      </c>
      <c r="T23" t="str">
        <f>IF(Q23&lt;'Cenario A ranking setor PIB'!$G$44,"N","Y")</f>
        <v>N</v>
      </c>
    </row>
    <row r="24" spans="1:20" hidden="1" x14ac:dyDescent="0.45">
      <c r="A24" s="293" t="s">
        <v>170</v>
      </c>
      <c r="B24" s="297" t="s">
        <v>3</v>
      </c>
      <c r="C24" s="297" t="s">
        <v>958</v>
      </c>
      <c r="D24" s="311">
        <v>97.365771589999994</v>
      </c>
      <c r="E24" s="311">
        <v>82.761672360000006</v>
      </c>
      <c r="F24" s="302">
        <f t="shared" si="0"/>
        <v>-0.14999212753632518</v>
      </c>
      <c r="G24" s="311">
        <v>72.679855549999999</v>
      </c>
      <c r="H24" s="311">
        <v>82.761672360000006</v>
      </c>
      <c r="I24" s="302">
        <f t="shared" si="1"/>
        <v>0.13871542167642636</v>
      </c>
      <c r="J24" s="311">
        <v>97.320007610000005</v>
      </c>
      <c r="K24" s="311">
        <v>127.22526541000001</v>
      </c>
      <c r="L24" s="311">
        <v>150.71739456</v>
      </c>
      <c r="M24" s="312">
        <v>210.76032477999999</v>
      </c>
      <c r="N24" t="str">
        <f t="shared" si="2"/>
        <v>ChileManufacture of basic metals (C24)</v>
      </c>
      <c r="O24" s="11">
        <f>INDEX('Base de dados IHS'!$A$1:$V$676,MATCH($N24,'Base de dados IHS'!$C$1:$C$676,0),MATCH($O$1,'Base de dados IHS'!$A$1:$V$1,0))</f>
        <v>257576.69277617999</v>
      </c>
      <c r="P24" s="11">
        <f>INDEX('Base de dados IHS'!$A$1:$V$676,MATCH($N24,'Base de dados IHS'!$C$1:$C$676,0),MATCH($P$1,'Base de dados IHS'!$A$1:$V$1,0))</f>
        <v>291863.26262717001</v>
      </c>
      <c r="Q24" s="131">
        <f>INDEX('Base de dados IHS'!$A$1:$V$676,MATCH($N24,'Base de dados IHS'!$C$1:$C$676,0),MATCH($Q$1,'Base de dados IHS'!$A$1:$V$1,0))</f>
        <v>2.8216782647005569E-4</v>
      </c>
      <c r="R24" s="131">
        <f>INDEX('Base de dados IHS'!$A$1:$V$676,MATCH($N24,'Base de dados IHS'!$C$1:$C$676,0),MATCH($R$1,'Base de dados IHS'!$A$1:$V$1,0))</f>
        <v>2.8356317138043119E-4</v>
      </c>
      <c r="S24" s="131">
        <f>INDEX('Base de dados IHS'!$A$1:$V$676,MATCH($N24,'Base de dados IHS'!$C$1:$C$676,0),MATCH($S$1,'Base de dados IHS'!$A$1:$V$1,0))</f>
        <v>1.3953449103754978E-6</v>
      </c>
      <c r="T24" t="str">
        <f>IF(Q24&lt;'Cenario A ranking setor PIB'!$G$44,"N","Y")</f>
        <v>N</v>
      </c>
    </row>
    <row r="25" spans="1:20" hidden="1" x14ac:dyDescent="0.45">
      <c r="A25" s="293" t="s">
        <v>171</v>
      </c>
      <c r="B25" s="297" t="s">
        <v>3</v>
      </c>
      <c r="C25" s="297" t="s">
        <v>958</v>
      </c>
      <c r="D25" s="311">
        <v>52.416925620000001</v>
      </c>
      <c r="E25" s="311">
        <v>74.854855540000003</v>
      </c>
      <c r="F25" s="302">
        <f t="shared" si="0"/>
        <v>0.42806650055490225</v>
      </c>
      <c r="G25" s="311">
        <v>62.700443839999998</v>
      </c>
      <c r="H25" s="311">
        <v>74.854855540000003</v>
      </c>
      <c r="I25" s="302">
        <f t="shared" si="1"/>
        <v>0.19384889413248541</v>
      </c>
      <c r="J25" s="311">
        <v>94.393252419999996</v>
      </c>
      <c r="K25" s="311">
        <v>110.60404178</v>
      </c>
      <c r="L25" s="311">
        <v>120.88899003</v>
      </c>
      <c r="M25" s="312">
        <v>146.45218176</v>
      </c>
      <c r="N25" t="str">
        <f t="shared" si="2"/>
        <v>CameroonManufacture of basic metals (C24)</v>
      </c>
      <c r="O25" s="11">
        <f>INDEX('Base de dados IHS'!$A$1:$V$676,MATCH($N25,'Base de dados IHS'!$C$1:$C$676,0),MATCH($O$1,'Base de dados IHS'!$A$1:$V$1,0))</f>
        <v>34069.891642009999</v>
      </c>
      <c r="P25" s="11">
        <f>INDEX('Base de dados IHS'!$A$1:$V$676,MATCH($N25,'Base de dados IHS'!$C$1:$C$676,0),MATCH($P$1,'Base de dados IHS'!$A$1:$V$1,0))</f>
        <v>41316.84413338</v>
      </c>
      <c r="Q25" s="131">
        <f>INDEX('Base de dados IHS'!$A$1:$V$676,MATCH($N25,'Base de dados IHS'!$C$1:$C$676,0),MATCH($Q$1,'Base de dados IHS'!$A$1:$V$1,0))</f>
        <v>1.8403476153909159E-3</v>
      </c>
      <c r="R25" s="131">
        <f>INDEX('Base de dados IHS'!$A$1:$V$676,MATCH($N25,'Base de dados IHS'!$C$1:$C$676,0),MATCH($R$1,'Base de dados IHS'!$A$1:$V$1,0))</f>
        <v>1.8117273259872369E-3</v>
      </c>
      <c r="S25" s="131">
        <f>INDEX('Base de dados IHS'!$A$1:$V$676,MATCH($N25,'Base de dados IHS'!$C$1:$C$676,0),MATCH($S$1,'Base de dados IHS'!$A$1:$V$1,0))</f>
        <v>-2.8620289403679007E-5</v>
      </c>
      <c r="T25" t="str">
        <f>IF(Q25&lt;'Cenario A ranking setor PIB'!$G$44,"N","Y")</f>
        <v>N</v>
      </c>
    </row>
    <row r="26" spans="1:20" hidden="1" x14ac:dyDescent="0.45">
      <c r="A26" s="293" t="s">
        <v>102</v>
      </c>
      <c r="B26" s="297" t="s">
        <v>3</v>
      </c>
      <c r="C26" s="297" t="s">
        <v>958</v>
      </c>
      <c r="D26" s="311">
        <v>108.26523874</v>
      </c>
      <c r="E26" s="311">
        <v>246.65734191000001</v>
      </c>
      <c r="F26" s="302">
        <f t="shared" si="0"/>
        <v>1.2782690435140496</v>
      </c>
      <c r="G26" s="311">
        <v>250.77113614000001</v>
      </c>
      <c r="H26" s="311">
        <v>246.65734191000001</v>
      </c>
      <c r="I26" s="302">
        <f t="shared" si="1"/>
        <v>-1.6404576273496452E-2</v>
      </c>
      <c r="J26" s="311">
        <v>274.79426905000003</v>
      </c>
      <c r="K26" s="311">
        <v>310.47412252999999</v>
      </c>
      <c r="L26" s="311">
        <v>342.73755538</v>
      </c>
      <c r="M26" s="312">
        <v>420.18527984999997</v>
      </c>
      <c r="N26" t="str">
        <f t="shared" si="2"/>
        <v>NigeriaManufacture of basic metals (C24)</v>
      </c>
      <c r="O26" s="11">
        <f>INDEX('Base de dados IHS'!$A$1:$V$676,MATCH($N26,'Base de dados IHS'!$C$1:$C$676,0),MATCH($O$1,'Base de dados IHS'!$A$1:$V$1,0))</f>
        <v>460034.71302222001</v>
      </c>
      <c r="P26" s="11">
        <f>INDEX('Base de dados IHS'!$A$1:$V$676,MATCH($N26,'Base de dados IHS'!$C$1:$C$676,0),MATCH($P$1,'Base de dados IHS'!$A$1:$V$1,0))</f>
        <v>483780.49839321</v>
      </c>
      <c r="Q26" s="131">
        <f>INDEX('Base de dados IHS'!$A$1:$V$676,MATCH($N26,'Base de dados IHS'!$C$1:$C$676,0),MATCH($Q$1,'Base de dados IHS'!$A$1:$V$1,0))</f>
        <v>5.4511350783193521E-4</v>
      </c>
      <c r="R26" s="131">
        <f>INDEX('Base de dados IHS'!$A$1:$V$676,MATCH($N26,'Base de dados IHS'!$C$1:$C$676,0),MATCH($R$1,'Base de dados IHS'!$A$1:$V$1,0))</f>
        <v>5.0985383397889755E-4</v>
      </c>
      <c r="S26" s="131">
        <f>INDEX('Base de dados IHS'!$A$1:$V$676,MATCH($N26,'Base de dados IHS'!$C$1:$C$676,0),MATCH($S$1,'Base de dados IHS'!$A$1:$V$1,0))</f>
        <v>-3.5259673853037655E-5</v>
      </c>
      <c r="T26" t="str">
        <f>IF(Q26&lt;'Cenario A ranking setor PIB'!$G$44,"N","Y")</f>
        <v>N</v>
      </c>
    </row>
    <row r="27" spans="1:20" x14ac:dyDescent="0.45">
      <c r="A27" s="293" t="s">
        <v>75</v>
      </c>
      <c r="B27" s="297" t="s">
        <v>3</v>
      </c>
      <c r="C27" s="297" t="s">
        <v>958</v>
      </c>
      <c r="D27" s="311">
        <v>12225.19696693</v>
      </c>
      <c r="E27" s="311">
        <v>12740.271190920001</v>
      </c>
      <c r="F27" s="302">
        <f t="shared" si="0"/>
        <v>4.2132182032184273E-2</v>
      </c>
      <c r="G27" s="311">
        <v>12563.67453563</v>
      </c>
      <c r="H27" s="311">
        <v>12740.271190920001</v>
      </c>
      <c r="I27" s="302">
        <f t="shared" si="1"/>
        <v>1.4056131013994388E-2</v>
      </c>
      <c r="J27" s="311">
        <v>14257.07732102</v>
      </c>
      <c r="K27" s="311">
        <v>15814.84592449</v>
      </c>
      <c r="L27" s="311">
        <v>17006.45431755</v>
      </c>
      <c r="M27" s="312">
        <v>20107.131287849999</v>
      </c>
      <c r="N27" t="str">
        <f t="shared" si="2"/>
        <v>MexicoManufacture of basic metals (C24)</v>
      </c>
      <c r="O27" s="11">
        <f>INDEX('Base de dados IHS'!$A$1:$V$676,MATCH($N27,'Base de dados IHS'!$C$1:$C$676,0),MATCH($O$1,'Base de dados IHS'!$A$1:$V$1,0))</f>
        <v>1239119.2771185001</v>
      </c>
      <c r="P27" s="11">
        <f>INDEX('Base de dados IHS'!$A$1:$V$676,MATCH($N27,'Base de dados IHS'!$C$1:$C$676,0),MATCH($P$1,'Base de dados IHS'!$A$1:$V$1,0))</f>
        <v>1262038.2891611001</v>
      </c>
      <c r="Q27" s="131">
        <f>INDEX('Base de dados IHS'!$A$1:$V$676,MATCH($N27,'Base de dados IHS'!$C$1:$C$676,0),MATCH($Q$1,'Base de dados IHS'!$A$1:$V$1,0))</f>
        <v>1.013919706329329E-2</v>
      </c>
      <c r="R27" s="131">
        <f>INDEX('Base de dados IHS'!$A$1:$V$676,MATCH($N27,'Base de dados IHS'!$C$1:$C$676,0),MATCH($R$1,'Base de dados IHS'!$A$1:$V$1,0))</f>
        <v>1.0094995770206538E-2</v>
      </c>
      <c r="S27" s="131">
        <f>INDEX('Base de dados IHS'!$A$1:$V$676,MATCH($N27,'Base de dados IHS'!$C$1:$C$676,0),MATCH($S$1,'Base de dados IHS'!$A$1:$V$1,0))</f>
        <v>-4.4201293086751706E-5</v>
      </c>
      <c r="T27" t="str">
        <f>IF(Q27&lt;'Cenario A ranking setor PIB'!$G$44,"N","Y")</f>
        <v>Y</v>
      </c>
    </row>
    <row r="28" spans="1:20" hidden="1" x14ac:dyDescent="0.45">
      <c r="A28" s="293" t="s">
        <v>175</v>
      </c>
      <c r="B28" s="297" t="s">
        <v>3</v>
      </c>
      <c r="C28" s="297" t="s">
        <v>958</v>
      </c>
      <c r="D28" s="311">
        <v>40.812728030000002</v>
      </c>
      <c r="E28" s="311">
        <v>57.346065609999997</v>
      </c>
      <c r="F28" s="302">
        <f t="shared" si="0"/>
        <v>0.40510248586781361</v>
      </c>
      <c r="G28" s="311">
        <v>48.312023879999998</v>
      </c>
      <c r="H28" s="311">
        <v>57.346065609999997</v>
      </c>
      <c r="I28" s="302">
        <f t="shared" si="1"/>
        <v>0.18699365094783116</v>
      </c>
      <c r="J28" s="311">
        <v>67.260609020000004</v>
      </c>
      <c r="K28" s="311">
        <v>83.30076296</v>
      </c>
      <c r="L28" s="311">
        <v>97.588032620000007</v>
      </c>
      <c r="M28" s="312">
        <v>138.19906712</v>
      </c>
      <c r="N28" t="str">
        <f t="shared" si="2"/>
        <v>KenyaManufacture of basic metals (C24)</v>
      </c>
      <c r="O28" s="11">
        <f>INDEX('Base de dados IHS'!$A$1:$V$676,MATCH($N28,'Base de dados IHS'!$C$1:$C$676,0),MATCH($O$1,'Base de dados IHS'!$A$1:$V$1,0))</f>
        <v>83525.195225389994</v>
      </c>
      <c r="P28" s="11">
        <f>INDEX('Base de dados IHS'!$A$1:$V$676,MATCH($N28,'Base de dados IHS'!$C$1:$C$676,0),MATCH($P$1,'Base de dados IHS'!$A$1:$V$1,0))</f>
        <v>107697.99713524</v>
      </c>
      <c r="Q28" s="131">
        <f>INDEX('Base de dados IHS'!$A$1:$V$676,MATCH($N28,'Base de dados IHS'!$C$1:$C$676,0),MATCH($Q$1,'Base de dados IHS'!$A$1:$V$1,0))</f>
        <v>5.7841258257022431E-4</v>
      </c>
      <c r="R28" s="131">
        <f>INDEX('Base de dados IHS'!$A$1:$V$676,MATCH($N28,'Base de dados IHS'!$C$1:$C$676,0),MATCH($R$1,'Base de dados IHS'!$A$1:$V$1,0))</f>
        <v>5.3247104993037718E-4</v>
      </c>
      <c r="S28" s="131">
        <f>INDEX('Base de dados IHS'!$A$1:$V$676,MATCH($N28,'Base de dados IHS'!$C$1:$C$676,0),MATCH($S$1,'Base de dados IHS'!$A$1:$V$1,0))</f>
        <v>-4.5941532639847131E-5</v>
      </c>
      <c r="T28" t="str">
        <f>IF(Q28&lt;'Cenario A ranking setor PIB'!$G$44,"N","Y")</f>
        <v>N</v>
      </c>
    </row>
    <row r="29" spans="1:20" hidden="1" x14ac:dyDescent="0.45">
      <c r="A29" s="293" t="s">
        <v>177</v>
      </c>
      <c r="B29" s="297" t="s">
        <v>3</v>
      </c>
      <c r="C29" s="297" t="s">
        <v>958</v>
      </c>
      <c r="D29" s="311">
        <v>29.475167039999999</v>
      </c>
      <c r="E29" s="311">
        <v>34.59387066</v>
      </c>
      <c r="F29" s="302">
        <f t="shared" si="0"/>
        <v>0.17366156442993308</v>
      </c>
      <c r="G29" s="311">
        <v>32.501730080000002</v>
      </c>
      <c r="H29" s="311">
        <v>34.59387066</v>
      </c>
      <c r="I29" s="302">
        <f t="shared" si="1"/>
        <v>6.4370129677724597E-2</v>
      </c>
      <c r="J29" s="311">
        <v>33.929531769999997</v>
      </c>
      <c r="K29" s="311">
        <v>41.348223259999997</v>
      </c>
      <c r="L29" s="311">
        <v>47.510930999999999</v>
      </c>
      <c r="M29" s="312">
        <v>62.719984089999997</v>
      </c>
      <c r="N29" t="str">
        <f t="shared" si="2"/>
        <v>BoliviaManufacture of basic metals (C24)</v>
      </c>
      <c r="O29" s="11">
        <f>INDEX('Base de dados IHS'!$A$1:$V$676,MATCH($N29,'Base de dados IHS'!$C$1:$C$676,0),MATCH($O$1,'Base de dados IHS'!$A$1:$V$1,0))</f>
        <v>35334.894672080001</v>
      </c>
      <c r="P29" s="11">
        <f>INDEX('Base de dados IHS'!$A$1:$V$676,MATCH($N29,'Base de dados IHS'!$C$1:$C$676,0),MATCH($P$1,'Base de dados IHS'!$A$1:$V$1,0))</f>
        <v>39600.741188879998</v>
      </c>
      <c r="Q29" s="131">
        <f>INDEX('Base de dados IHS'!$A$1:$V$676,MATCH($N29,'Base de dados IHS'!$C$1:$C$676,0),MATCH($Q$1,'Base de dados IHS'!$A$1:$V$1,0))</f>
        <v>9.1981963952708103E-4</v>
      </c>
      <c r="R29" s="131">
        <f>INDEX('Base de dados IHS'!$A$1:$V$676,MATCH($N29,'Base de dados IHS'!$C$1:$C$676,0),MATCH($R$1,'Base de dados IHS'!$A$1:$V$1,0))</f>
        <v>8.7356624198018946E-4</v>
      </c>
      <c r="S29" s="131">
        <f>INDEX('Base de dados IHS'!$A$1:$V$676,MATCH($N29,'Base de dados IHS'!$C$1:$C$676,0),MATCH($S$1,'Base de dados IHS'!$A$1:$V$1,0))</f>
        <v>-4.6253397546891571E-5</v>
      </c>
      <c r="T29" t="str">
        <f>IF(Q29&lt;'Cenario A ranking setor PIB'!$G$44,"N","Y")</f>
        <v>N</v>
      </c>
    </row>
    <row r="30" spans="1:20" hidden="1" x14ac:dyDescent="0.45">
      <c r="A30" s="293" t="s">
        <v>121</v>
      </c>
      <c r="B30" s="297" t="s">
        <v>3</v>
      </c>
      <c r="C30" s="297" t="s">
        <v>958</v>
      </c>
      <c r="D30" s="311">
        <v>141.14525352000001</v>
      </c>
      <c r="E30" s="311">
        <v>131.11643824999999</v>
      </c>
      <c r="F30" s="302">
        <f t="shared" si="0"/>
        <v>-7.1053152832935784E-2</v>
      </c>
      <c r="G30" s="311">
        <v>125.80209451</v>
      </c>
      <c r="H30" s="311">
        <v>131.11643824999999</v>
      </c>
      <c r="I30" s="302">
        <f t="shared" si="1"/>
        <v>4.2243682513390501E-2</v>
      </c>
      <c r="J30" s="311">
        <v>128.92381538999999</v>
      </c>
      <c r="K30" s="311">
        <v>140.49492577999999</v>
      </c>
      <c r="L30" s="311">
        <v>149.31776704000001</v>
      </c>
      <c r="M30" s="312">
        <v>167.85654360999999</v>
      </c>
      <c r="N30" t="str">
        <f t="shared" si="2"/>
        <v>SingaporeManufacture of basic metals (C24)</v>
      </c>
      <c r="O30" s="11">
        <f>INDEX('Base de dados IHS'!$A$1:$V$676,MATCH($N30,'Base de dados IHS'!$C$1:$C$676,0),MATCH($O$1,'Base de dados IHS'!$A$1:$V$1,0))</f>
        <v>331298.98374970001</v>
      </c>
      <c r="P30" s="11">
        <f>INDEX('Base de dados IHS'!$A$1:$V$676,MATCH($N30,'Base de dados IHS'!$C$1:$C$676,0),MATCH($P$1,'Base de dados IHS'!$A$1:$V$1,0))</f>
        <v>394237.177708</v>
      </c>
      <c r="Q30" s="131">
        <f>INDEX('Base de dados IHS'!$A$1:$V$676,MATCH($N30,'Base de dados IHS'!$C$1:$C$676,0),MATCH($Q$1,'Base de dados IHS'!$A$1:$V$1,0))</f>
        <v>3.7972375612550883E-4</v>
      </c>
      <c r="R30" s="131">
        <f>INDEX('Base de dados IHS'!$A$1:$V$676,MATCH($N30,'Base de dados IHS'!$C$1:$C$676,0),MATCH($R$1,'Base de dados IHS'!$A$1:$V$1,0))</f>
        <v>3.325826321410867E-4</v>
      </c>
      <c r="S30" s="131">
        <f>INDEX('Base de dados IHS'!$A$1:$V$676,MATCH($N30,'Base de dados IHS'!$C$1:$C$676,0),MATCH($S$1,'Base de dados IHS'!$A$1:$V$1,0))</f>
        <v>-4.7141123984422123E-5</v>
      </c>
      <c r="T30" t="str">
        <f>IF(Q30&lt;'Cenario A ranking setor PIB'!$G$44,"N","Y")</f>
        <v>N</v>
      </c>
    </row>
    <row r="31" spans="1:20" hidden="1" x14ac:dyDescent="0.45">
      <c r="A31" s="293" t="s">
        <v>167</v>
      </c>
      <c r="B31" s="297" t="s">
        <v>3</v>
      </c>
      <c r="C31" s="297" t="s">
        <v>958</v>
      </c>
      <c r="D31" s="311">
        <v>121.62778067000001</v>
      </c>
      <c r="E31" s="311">
        <v>113.73380557</v>
      </c>
      <c r="F31" s="302">
        <f t="shared" si="0"/>
        <v>-6.4902730745518666E-2</v>
      </c>
      <c r="G31" s="311">
        <v>128.39517008999999</v>
      </c>
      <c r="H31" s="311">
        <v>113.73380557</v>
      </c>
      <c r="I31" s="302">
        <f t="shared" si="1"/>
        <v>-0.11418937729295386</v>
      </c>
      <c r="J31" s="311">
        <v>171.25190516999999</v>
      </c>
      <c r="K31" s="311">
        <v>366.78221382999999</v>
      </c>
      <c r="L31" s="311">
        <v>499.34543208000002</v>
      </c>
      <c r="M31" s="312">
        <v>784.00262067999995</v>
      </c>
      <c r="N31" t="str">
        <f t="shared" si="2"/>
        <v>Hong Kong SARManufacture of basic metals (C24)</v>
      </c>
      <c r="O31" s="11">
        <f>INDEX('Base de dados IHS'!$A$1:$V$676,MATCH($N31,'Base de dados IHS'!$C$1:$C$676,0),MATCH($O$1,'Base de dados IHS'!$A$1:$V$1,0))</f>
        <v>338559.97086627001</v>
      </c>
      <c r="P31" s="11">
        <f>INDEX('Base de dados IHS'!$A$1:$V$676,MATCH($N31,'Base de dados IHS'!$C$1:$C$676,0),MATCH($P$1,'Base de dados IHS'!$A$1:$V$1,0))</f>
        <v>361197.76240428002</v>
      </c>
      <c r="Q31" s="131">
        <f>INDEX('Base de dados IHS'!$A$1:$V$676,MATCH($N31,'Base de dados IHS'!$C$1:$C$676,0),MATCH($Q$1,'Base de dados IHS'!$A$1:$V$1,0))</f>
        <v>3.7923907472426981E-4</v>
      </c>
      <c r="R31" s="131">
        <f>INDEX('Base de dados IHS'!$A$1:$V$676,MATCH($N31,'Base de dados IHS'!$C$1:$C$676,0),MATCH($R$1,'Base de dados IHS'!$A$1:$V$1,0))</f>
        <v>3.1487959618836306E-4</v>
      </c>
      <c r="S31" s="131">
        <f>INDEX('Base de dados IHS'!$A$1:$V$676,MATCH($N31,'Base de dados IHS'!$C$1:$C$676,0),MATCH($S$1,'Base de dados IHS'!$A$1:$V$1,0))</f>
        <v>-6.4359478535906754E-5</v>
      </c>
      <c r="T31" t="str">
        <f>IF(Q31&lt;'Cenario A ranking setor PIB'!$G$44,"N","Y")</f>
        <v>N</v>
      </c>
    </row>
    <row r="32" spans="1:20" hidden="1" x14ac:dyDescent="0.45">
      <c r="A32" s="293" t="s">
        <v>144</v>
      </c>
      <c r="B32" s="297" t="s">
        <v>3</v>
      </c>
      <c r="C32" s="297" t="s">
        <v>958</v>
      </c>
      <c r="D32" s="311">
        <v>2112.0240565600002</v>
      </c>
      <c r="E32" s="311">
        <v>2622.81944441</v>
      </c>
      <c r="F32" s="302">
        <f t="shared" si="0"/>
        <v>0.24185112203786518</v>
      </c>
      <c r="G32" s="311">
        <v>2245.5612810799998</v>
      </c>
      <c r="H32" s="311">
        <v>2622.81944441</v>
      </c>
      <c r="I32" s="302">
        <f t="shared" si="1"/>
        <v>0.16800172255755963</v>
      </c>
      <c r="J32" s="311">
        <v>3350.8215900800001</v>
      </c>
      <c r="K32" s="311">
        <v>4102.7878113999996</v>
      </c>
      <c r="L32" s="311">
        <v>4707.7746696800004</v>
      </c>
      <c r="M32" s="312">
        <v>6258.5678807300001</v>
      </c>
      <c r="N32" t="str">
        <f t="shared" si="2"/>
        <v>MalaysiaManufacture of basic metals (C24)</v>
      </c>
      <c r="O32" s="11">
        <f>INDEX('Base de dados IHS'!$A$1:$V$676,MATCH($N32,'Base de dados IHS'!$C$1:$C$676,0),MATCH($O$1,'Base de dados IHS'!$A$1:$V$1,0))</f>
        <v>301830.41438700003</v>
      </c>
      <c r="P32" s="11">
        <f>INDEX('Base de dados IHS'!$A$1:$V$676,MATCH($N32,'Base de dados IHS'!$C$1:$C$676,0),MATCH($P$1,'Base de dados IHS'!$A$1:$V$1,0))</f>
        <v>356559.39228144003</v>
      </c>
      <c r="Q32" s="131">
        <f>INDEX('Base de dados IHS'!$A$1:$V$676,MATCH($N32,'Base de dados IHS'!$C$1:$C$676,0),MATCH($Q$1,'Base de dados IHS'!$A$1:$V$1,0))</f>
        <v>7.4398111457409082E-3</v>
      </c>
      <c r="R32" s="131">
        <f>INDEX('Base de dados IHS'!$A$1:$V$676,MATCH($N32,'Base de dados IHS'!$C$1:$C$676,0),MATCH($R$1,'Base de dados IHS'!$A$1:$V$1,0))</f>
        <v>7.3559118093283939E-3</v>
      </c>
      <c r="S32" s="131">
        <f>INDEX('Base de dados IHS'!$A$1:$V$676,MATCH($N32,'Base de dados IHS'!$C$1:$C$676,0),MATCH($S$1,'Base de dados IHS'!$A$1:$V$1,0))</f>
        <v>-8.3899336412514292E-5</v>
      </c>
      <c r="T32" t="str">
        <f>IF(Q32&lt;'Cenario A ranking setor PIB'!$G$44,"N","Y")</f>
        <v>N</v>
      </c>
    </row>
    <row r="33" spans="1:20" hidden="1" x14ac:dyDescent="0.45">
      <c r="A33" s="293" t="s">
        <v>145</v>
      </c>
      <c r="B33" s="297" t="s">
        <v>3</v>
      </c>
      <c r="C33" s="297" t="s">
        <v>958</v>
      </c>
      <c r="D33" s="311">
        <v>2487.5772692800001</v>
      </c>
      <c r="E33" s="311">
        <v>2211.9485150999999</v>
      </c>
      <c r="F33" s="302">
        <f t="shared" si="0"/>
        <v>-0.11080208747034326</v>
      </c>
      <c r="G33" s="311">
        <v>2206.6787577700002</v>
      </c>
      <c r="H33" s="311">
        <v>2211.9485150999999</v>
      </c>
      <c r="I33" s="302">
        <f t="shared" si="1"/>
        <v>2.3880944661491821E-3</v>
      </c>
      <c r="J33" s="311">
        <v>2002.6990774200001</v>
      </c>
      <c r="K33" s="311">
        <v>2083.54946333</v>
      </c>
      <c r="L33" s="311">
        <v>2173.6191003600002</v>
      </c>
      <c r="M33" s="312">
        <v>2385.8232286500001</v>
      </c>
      <c r="N33" t="str">
        <f t="shared" si="2"/>
        <v>South AfricaManufacture of basic metals (C24)</v>
      </c>
      <c r="O33" s="11">
        <f>INDEX('Base de dados IHS'!$A$1:$V$676,MATCH($N33,'Base de dados IHS'!$C$1:$C$676,0),MATCH($O$1,'Base de dados IHS'!$A$1:$V$1,0))</f>
        <v>375376.48654821003</v>
      </c>
      <c r="P33" s="11">
        <f>INDEX('Base de dados IHS'!$A$1:$V$676,MATCH($N33,'Base de dados IHS'!$C$1:$C$676,0),MATCH($P$1,'Base de dados IHS'!$A$1:$V$1,0))</f>
        <v>383209.69906191999</v>
      </c>
      <c r="Q33" s="131">
        <f>INDEX('Base de dados IHS'!$A$1:$V$676,MATCH($N33,'Base de dados IHS'!$C$1:$C$676,0),MATCH($Q$1,'Base de dados IHS'!$A$1:$V$1,0))</f>
        <v>5.8785748091512227E-3</v>
      </c>
      <c r="R33" s="131">
        <f>INDEX('Base de dados IHS'!$A$1:$V$676,MATCH($N33,'Base de dados IHS'!$C$1:$C$676,0),MATCH($R$1,'Base de dados IHS'!$A$1:$V$1,0))</f>
        <v>5.7721621360700155E-3</v>
      </c>
      <c r="S33" s="131">
        <f>INDEX('Base de dados IHS'!$A$1:$V$676,MATCH($N33,'Base de dados IHS'!$C$1:$C$676,0),MATCH($S$1,'Base de dados IHS'!$A$1:$V$1,0))</f>
        <v>-1.0641267308120726E-4</v>
      </c>
      <c r="T33" t="str">
        <f>IF(Q33&lt;'Cenario A ranking setor PIB'!$G$44,"N","Y")</f>
        <v>N</v>
      </c>
    </row>
    <row r="34" spans="1:20" hidden="1" x14ac:dyDescent="0.45">
      <c r="A34" s="293" t="s">
        <v>142</v>
      </c>
      <c r="B34" s="297" t="s">
        <v>3</v>
      </c>
      <c r="C34" s="297" t="s">
        <v>958</v>
      </c>
      <c r="D34" s="311">
        <v>4557.7005179400003</v>
      </c>
      <c r="E34" s="311">
        <v>3877.8902292399998</v>
      </c>
      <c r="F34" s="302">
        <f t="shared" ref="F34:F65" si="3">H34/D34-1</f>
        <v>-0.14915641912498079</v>
      </c>
      <c r="G34" s="311">
        <v>4096.280471</v>
      </c>
      <c r="H34" s="311">
        <v>3877.8902292399998</v>
      </c>
      <c r="I34" s="302">
        <f t="shared" ref="I34:I65" si="4">H34/G34-1</f>
        <v>-5.3314279455743852E-2</v>
      </c>
      <c r="J34" s="311">
        <v>4013.3591834899999</v>
      </c>
      <c r="K34" s="311">
        <v>4459.09005041</v>
      </c>
      <c r="L34" s="311">
        <v>4785.5046593099996</v>
      </c>
      <c r="M34" s="312">
        <v>5669.6173165800001</v>
      </c>
      <c r="N34" t="str">
        <f t="shared" ref="N34:N65" si="5">A34&amp;B34</f>
        <v>ArgentinaManufacture of basic metals (C24)</v>
      </c>
      <c r="O34" s="11">
        <f>INDEX('Base de dados IHS'!$A$1:$V$676,MATCH($N34,'Base de dados IHS'!$C$1:$C$676,0),MATCH($O$1,'Base de dados IHS'!$A$1:$V$1,0))</f>
        <v>464976.94374428003</v>
      </c>
      <c r="P34" s="11">
        <f>INDEX('Base de dados IHS'!$A$1:$V$676,MATCH($N34,'Base de dados IHS'!$C$1:$C$676,0),MATCH($P$1,'Base de dados IHS'!$A$1:$V$1,0))</f>
        <v>445673.70595729002</v>
      </c>
      <c r="Q34" s="131">
        <f>INDEX('Base de dados IHS'!$A$1:$V$676,MATCH($N34,'Base de dados IHS'!$C$1:$C$676,0),MATCH($Q$1,'Base de dados IHS'!$A$1:$V$1,0))</f>
        <v>8.8096421255089187E-3</v>
      </c>
      <c r="R34" s="131">
        <f>INDEX('Base de dados IHS'!$A$1:$V$676,MATCH($N34,'Base de dados IHS'!$C$1:$C$676,0),MATCH($R$1,'Base de dados IHS'!$A$1:$V$1,0))</f>
        <v>8.7011869387951454E-3</v>
      </c>
      <c r="S34" s="131">
        <f>INDEX('Base de dados IHS'!$A$1:$V$676,MATCH($N34,'Base de dados IHS'!$C$1:$C$676,0),MATCH($S$1,'Base de dados IHS'!$A$1:$V$1,0))</f>
        <v>-1.0845518671377327E-4</v>
      </c>
      <c r="T34" t="str">
        <f>IF(Q34&lt;'Cenario A ranking setor PIB'!$G$44,"N","Y")</f>
        <v>N</v>
      </c>
    </row>
    <row r="35" spans="1:20" hidden="1" x14ac:dyDescent="0.45">
      <c r="A35" s="293" t="s">
        <v>168</v>
      </c>
      <c r="B35" s="297" t="s">
        <v>3</v>
      </c>
      <c r="C35" s="297" t="s">
        <v>958</v>
      </c>
      <c r="D35" s="311">
        <v>97.80092836</v>
      </c>
      <c r="E35" s="311">
        <v>98.971417419999995</v>
      </c>
      <c r="F35" s="302">
        <f t="shared" si="3"/>
        <v>1.1968077191368609E-2</v>
      </c>
      <c r="G35" s="311">
        <v>100.31795341</v>
      </c>
      <c r="H35" s="311">
        <v>98.971417419999995</v>
      </c>
      <c r="I35" s="302">
        <f t="shared" si="4"/>
        <v>-1.3422682024788801E-2</v>
      </c>
      <c r="J35" s="311">
        <v>103.63886073</v>
      </c>
      <c r="K35" s="311">
        <v>110.95591706</v>
      </c>
      <c r="L35" s="311">
        <v>116.18271154</v>
      </c>
      <c r="M35" s="312">
        <v>129.43964613</v>
      </c>
      <c r="N35" t="str">
        <f t="shared" si="5"/>
        <v>TunisiaManufacture of basic metals (C24)</v>
      </c>
      <c r="O35" s="11">
        <f>INDEX('Base de dados IHS'!$A$1:$V$676,MATCH($N35,'Base de dados IHS'!$C$1:$C$676,0),MATCH($O$1,'Base de dados IHS'!$A$1:$V$1,0))</f>
        <v>38884.65391288</v>
      </c>
      <c r="P35" s="11">
        <f>INDEX('Base de dados IHS'!$A$1:$V$676,MATCH($N35,'Base de dados IHS'!$C$1:$C$676,0),MATCH($P$1,'Base de dados IHS'!$A$1:$V$1,0))</f>
        <v>40072.692608359997</v>
      </c>
      <c r="Q35" s="131">
        <f>INDEX('Base de dados IHS'!$A$1:$V$676,MATCH($N35,'Base de dados IHS'!$C$1:$C$676,0),MATCH($Q$1,'Base de dados IHS'!$A$1:$V$1,0))</f>
        <v>2.5798854641926254E-3</v>
      </c>
      <c r="R35" s="131">
        <f>INDEX('Base de dados IHS'!$A$1:$V$676,MATCH($N35,'Base de dados IHS'!$C$1:$C$676,0),MATCH($R$1,'Base de dados IHS'!$A$1:$V$1,0))</f>
        <v>2.4697970357837272E-3</v>
      </c>
      <c r="S35" s="131">
        <f>INDEX('Base de dados IHS'!$A$1:$V$676,MATCH($N35,'Base de dados IHS'!$C$1:$C$676,0),MATCH($S$1,'Base de dados IHS'!$A$1:$V$1,0))</f>
        <v>-1.1008842840889814E-4</v>
      </c>
      <c r="T35" t="str">
        <f>IF(Q35&lt;'Cenario A ranking setor PIB'!$G$44,"N","Y")</f>
        <v>N</v>
      </c>
    </row>
    <row r="36" spans="1:20" hidden="1" x14ac:dyDescent="0.45">
      <c r="A36" s="293" t="s">
        <v>169</v>
      </c>
      <c r="B36" s="297" t="s">
        <v>3</v>
      </c>
      <c r="C36" s="297" t="s">
        <v>958</v>
      </c>
      <c r="D36" s="311">
        <v>67.818992640000005</v>
      </c>
      <c r="E36" s="311">
        <v>84.634062720000003</v>
      </c>
      <c r="F36" s="302">
        <f t="shared" si="3"/>
        <v>0.24794042826997664</v>
      </c>
      <c r="G36" s="311">
        <v>78.465104859999997</v>
      </c>
      <c r="H36" s="311">
        <v>84.634062720000003</v>
      </c>
      <c r="I36" s="302">
        <f t="shared" si="4"/>
        <v>7.8620399106161365E-2</v>
      </c>
      <c r="J36" s="311">
        <v>96.428441640000003</v>
      </c>
      <c r="K36" s="311">
        <v>103.60476935</v>
      </c>
      <c r="L36" s="311">
        <v>109.4683653</v>
      </c>
      <c r="M36" s="312">
        <v>124.41555135</v>
      </c>
      <c r="N36" t="str">
        <f t="shared" si="5"/>
        <v>Costa RicaManufacture of basic metals (C24)</v>
      </c>
      <c r="O36" s="11">
        <f>INDEX('Base de dados IHS'!$A$1:$V$676,MATCH($N36,'Base de dados IHS'!$C$1:$C$676,0),MATCH($O$1,'Base de dados IHS'!$A$1:$V$1,0))</f>
        <v>56790.776904650003</v>
      </c>
      <c r="P36" s="11">
        <f>INDEX('Base de dados IHS'!$A$1:$V$676,MATCH($N36,'Base de dados IHS'!$C$1:$C$676,0),MATCH($P$1,'Base de dados IHS'!$A$1:$V$1,0))</f>
        <v>66933.267445050005</v>
      </c>
      <c r="Q36" s="131">
        <f>INDEX('Base de dados IHS'!$A$1:$V$676,MATCH($N36,'Base de dados IHS'!$C$1:$C$676,0),MATCH($Q$1,'Base de dados IHS'!$A$1:$V$1,0))</f>
        <v>1.3816522530012319E-3</v>
      </c>
      <c r="R36" s="131">
        <f>INDEX('Base de dados IHS'!$A$1:$V$676,MATCH($N36,'Base de dados IHS'!$C$1:$C$676,0),MATCH($R$1,'Base de dados IHS'!$A$1:$V$1,0))</f>
        <v>1.264454372998924E-3</v>
      </c>
      <c r="S36" s="131">
        <f>INDEX('Base de dados IHS'!$A$1:$V$676,MATCH($N36,'Base de dados IHS'!$C$1:$C$676,0),MATCH($S$1,'Base de dados IHS'!$A$1:$V$1,0))</f>
        <v>-1.1719788000230788E-4</v>
      </c>
      <c r="T36" t="str">
        <f>IF(Q36&lt;'Cenario A ranking setor PIB'!$G$44,"N","Y")</f>
        <v>N</v>
      </c>
    </row>
    <row r="37" spans="1:20" hidden="1" x14ac:dyDescent="0.45">
      <c r="A37" s="293" t="s">
        <v>173</v>
      </c>
      <c r="B37" s="297" t="s">
        <v>3</v>
      </c>
      <c r="C37" s="297" t="s">
        <v>958</v>
      </c>
      <c r="D37" s="311">
        <v>39.135227810000004</v>
      </c>
      <c r="E37" s="311">
        <v>66.025114590000001</v>
      </c>
      <c r="F37" s="302">
        <f t="shared" si="3"/>
        <v>0.68710183343123354</v>
      </c>
      <c r="G37" s="311">
        <v>66.448606859999998</v>
      </c>
      <c r="H37" s="311">
        <v>66.025114590000001</v>
      </c>
      <c r="I37" s="302">
        <f t="shared" si="4"/>
        <v>-6.3732302302778043E-3</v>
      </c>
      <c r="J37" s="311">
        <v>68.908620720000002</v>
      </c>
      <c r="K37" s="311">
        <v>72.439230030000004</v>
      </c>
      <c r="L37" s="311">
        <v>74.781644869999994</v>
      </c>
      <c r="M37" s="312">
        <v>79.396824010000003</v>
      </c>
      <c r="N37" t="str">
        <f t="shared" si="5"/>
        <v>PanamaManufacture of basic metals (C24)</v>
      </c>
      <c r="O37" s="11">
        <f>INDEX('Base de dados IHS'!$A$1:$V$676,MATCH($N37,'Base de dados IHS'!$C$1:$C$676,0),MATCH($O$1,'Base de dados IHS'!$A$1:$V$1,0))</f>
        <v>58921.61186117</v>
      </c>
      <c r="P37" s="11">
        <f>INDEX('Base de dados IHS'!$A$1:$V$676,MATCH($N37,'Base de dados IHS'!$C$1:$C$676,0),MATCH($P$1,'Base de dados IHS'!$A$1:$V$1,0))</f>
        <v>65983.988595749994</v>
      </c>
      <c r="Q37" s="131">
        <f>INDEX('Base de dados IHS'!$A$1:$V$676,MATCH($N37,'Base de dados IHS'!$C$1:$C$676,0),MATCH($Q$1,'Base de dados IHS'!$A$1:$V$1,0))</f>
        <v>1.1277459112382221E-3</v>
      </c>
      <c r="R37" s="131">
        <f>INDEX('Base de dados IHS'!$A$1:$V$676,MATCH($N37,'Base de dados IHS'!$C$1:$C$676,0),MATCH($R$1,'Base de dados IHS'!$A$1:$V$1,0))</f>
        <v>1.0006232723290185E-3</v>
      </c>
      <c r="S37" s="131">
        <f>INDEX('Base de dados IHS'!$A$1:$V$676,MATCH($N37,'Base de dados IHS'!$C$1:$C$676,0),MATCH($S$1,'Base de dados IHS'!$A$1:$V$1,0))</f>
        <v>-1.2712263890920367E-4</v>
      </c>
      <c r="T37" t="str">
        <f>IF(Q37&lt;'Cenario A ranking setor PIB'!$G$44,"N","Y")</f>
        <v>N</v>
      </c>
    </row>
    <row r="38" spans="1:20" hidden="1" x14ac:dyDescent="0.45">
      <c r="A38" s="293" t="s">
        <v>179</v>
      </c>
      <c r="B38" s="297" t="s">
        <v>3</v>
      </c>
      <c r="C38" s="297" t="s">
        <v>958</v>
      </c>
      <c r="D38" s="311">
        <v>547939.45604352001</v>
      </c>
      <c r="E38" s="311">
        <v>736025.89218534005</v>
      </c>
      <c r="F38" s="302">
        <f t="shared" si="3"/>
        <v>0.34326134770422767</v>
      </c>
      <c r="G38" s="311">
        <v>649270.93178572005</v>
      </c>
      <c r="H38" s="311">
        <v>736025.89218534005</v>
      </c>
      <c r="I38" s="302">
        <f t="shared" si="4"/>
        <v>0.13361904276387948</v>
      </c>
      <c r="J38" s="311">
        <v>860321.18573759997</v>
      </c>
      <c r="K38" s="311">
        <v>1012801.5612118</v>
      </c>
      <c r="L38" s="311">
        <v>1131334.8344133999</v>
      </c>
      <c r="M38" s="312">
        <v>1428587.020978</v>
      </c>
      <c r="N38" t="str">
        <f t="shared" si="5"/>
        <v>WorldManufacture of basic metals (C24)</v>
      </c>
      <c r="O38" s="11">
        <f>INDEX('Base de dados IHS'!$A$1:$V$676,MATCH($N38,'Base de dados IHS'!$C$1:$C$676,0),MATCH($O$1,'Base de dados IHS'!$A$1:$V$1,0))</f>
        <v>74892116.540485993</v>
      </c>
      <c r="P38" s="11">
        <f>INDEX('Base de dados IHS'!$A$1:$V$676,MATCH($N38,'Base de dados IHS'!$C$1:$C$676,0),MATCH($P$1,'Base de dados IHS'!$A$1:$V$1,0))</f>
        <v>87029234.955234006</v>
      </c>
      <c r="Q38" s="131">
        <f>INDEX('Base de dados IHS'!$A$1:$V$676,MATCH($N38,'Base de dados IHS'!$C$1:$C$676,0),MATCH($Q$1,'Base de dados IHS'!$A$1:$V$1,0))</f>
        <v>8.6694162453631561E-3</v>
      </c>
      <c r="R38" s="131">
        <f>INDEX('Base de dados IHS'!$A$1:$V$676,MATCH($N38,'Base de dados IHS'!$C$1:$C$676,0),MATCH($R$1,'Base de dados IHS'!$A$1:$V$1,0))</f>
        <v>8.4572258111189434E-3</v>
      </c>
      <c r="S38" s="131">
        <f>INDEX('Base de dados IHS'!$A$1:$V$676,MATCH($N38,'Base de dados IHS'!$C$1:$C$676,0),MATCH($S$1,'Base de dados IHS'!$A$1:$V$1,0))</f>
        <v>-2.1219043424421276E-4</v>
      </c>
      <c r="T38" t="str">
        <f>IF(Q38&lt;'Cenario A ranking setor PIB'!$G$44,"N","Y")</f>
        <v>N</v>
      </c>
    </row>
    <row r="39" spans="1:20" hidden="1" x14ac:dyDescent="0.45">
      <c r="A39" s="293" t="s">
        <v>178</v>
      </c>
      <c r="B39" s="297" t="s">
        <v>3</v>
      </c>
      <c r="C39" s="297" t="s">
        <v>958</v>
      </c>
      <c r="D39" s="311">
        <v>14.681953630000001</v>
      </c>
      <c r="E39" s="311">
        <v>16.932936269999999</v>
      </c>
      <c r="F39" s="302">
        <f t="shared" si="3"/>
        <v>0.15331628860348046</v>
      </c>
      <c r="G39" s="311">
        <v>17.299928990000002</v>
      </c>
      <c r="H39" s="311">
        <v>16.932936269999999</v>
      </c>
      <c r="I39" s="302">
        <f t="shared" si="4"/>
        <v>-2.1213539096729073E-2</v>
      </c>
      <c r="J39" s="311">
        <v>19.376459239999999</v>
      </c>
      <c r="K39" s="311">
        <v>25.449113560000001</v>
      </c>
      <c r="L39" s="311">
        <v>30.670216310000001</v>
      </c>
      <c r="M39" s="312">
        <v>45.475460589999997</v>
      </c>
      <c r="N39" t="str">
        <f t="shared" si="5"/>
        <v>SenegalManufacture of basic metals (C24)</v>
      </c>
      <c r="O39" s="11">
        <f>INDEX('Base de dados IHS'!$A$1:$V$676,MATCH($N39,'Base de dados IHS'!$C$1:$C$676,0),MATCH($O$1,'Base de dados IHS'!$A$1:$V$1,0))</f>
        <v>18437.455260710001</v>
      </c>
      <c r="P39" s="11">
        <f>INDEX('Base de dados IHS'!$A$1:$V$676,MATCH($N39,'Base de dados IHS'!$C$1:$C$676,0),MATCH($P$1,'Base de dados IHS'!$A$1:$V$1,0))</f>
        <v>25150.80803964</v>
      </c>
      <c r="Q39" s="131">
        <f>INDEX('Base de dados IHS'!$A$1:$V$676,MATCH($N39,'Base de dados IHS'!$C$1:$C$676,0),MATCH($Q$1,'Base de dados IHS'!$A$1:$V$1,0))</f>
        <v>9.3830351018483256E-4</v>
      </c>
      <c r="R39" s="131">
        <f>INDEX('Base de dados IHS'!$A$1:$V$676,MATCH($N39,'Base de dados IHS'!$C$1:$C$676,0),MATCH($R$1,'Base de dados IHS'!$A$1:$V$1,0))</f>
        <v>6.73256153174567E-4</v>
      </c>
      <c r="S39" s="131">
        <f>INDEX('Base de dados IHS'!$A$1:$V$676,MATCH($N39,'Base de dados IHS'!$C$1:$C$676,0),MATCH($S$1,'Base de dados IHS'!$A$1:$V$1,0))</f>
        <v>-2.6504735701026556E-4</v>
      </c>
      <c r="T39" t="str">
        <f>IF(Q39&lt;'Cenario A ranking setor PIB'!$G$44,"N","Y")</f>
        <v>N</v>
      </c>
    </row>
    <row r="40" spans="1:20" hidden="1" x14ac:dyDescent="0.45">
      <c r="A40" s="293" t="s">
        <v>123</v>
      </c>
      <c r="B40" s="297" t="s">
        <v>3</v>
      </c>
      <c r="C40" s="297" t="s">
        <v>958</v>
      </c>
      <c r="D40" s="311">
        <v>570.16226427000004</v>
      </c>
      <c r="E40" s="311">
        <v>602.80464247999998</v>
      </c>
      <c r="F40" s="302">
        <f t="shared" si="3"/>
        <v>5.7251032303572646E-2</v>
      </c>
      <c r="G40" s="311">
        <v>569.72172891000002</v>
      </c>
      <c r="H40" s="311">
        <v>602.80464247999998</v>
      </c>
      <c r="I40" s="302">
        <f t="shared" si="4"/>
        <v>5.8068548014299282E-2</v>
      </c>
      <c r="J40" s="311">
        <v>638.19283378</v>
      </c>
      <c r="K40" s="311">
        <v>681.71163302000002</v>
      </c>
      <c r="L40" s="311">
        <v>717.06409226000005</v>
      </c>
      <c r="M40" s="312">
        <v>808.77634521000004</v>
      </c>
      <c r="N40" t="str">
        <f t="shared" si="5"/>
        <v>IsraelManufacture of basic metals (C24)</v>
      </c>
      <c r="O40" s="11">
        <f>INDEX('Base de dados IHS'!$A$1:$V$676,MATCH($N40,'Base de dados IHS'!$C$1:$C$676,0),MATCH($O$1,'Base de dados IHS'!$A$1:$V$1,0))</f>
        <v>339252.33917334001</v>
      </c>
      <c r="P40" s="11">
        <f>INDEX('Base de dados IHS'!$A$1:$V$676,MATCH($N40,'Base de dados IHS'!$C$1:$C$676,0),MATCH($P$1,'Base de dados IHS'!$A$1:$V$1,0))</f>
        <v>430314.68651226</v>
      </c>
      <c r="Q40" s="131">
        <f>INDEX('Base de dados IHS'!$A$1:$V$676,MATCH($N40,'Base de dados IHS'!$C$1:$C$676,0),MATCH($Q$1,'Base de dados IHS'!$A$1:$V$1,0))</f>
        <v>1.6793450276518281E-3</v>
      </c>
      <c r="R40" s="131">
        <f>INDEX('Base de dados IHS'!$A$1:$V$676,MATCH($N40,'Base de dados IHS'!$C$1:$C$676,0),MATCH($R$1,'Base de dados IHS'!$A$1:$V$1,0))</f>
        <v>1.4008460816566288E-3</v>
      </c>
      <c r="S40" s="131">
        <f>INDEX('Base de dados IHS'!$A$1:$V$676,MATCH($N40,'Base de dados IHS'!$C$1:$C$676,0),MATCH($S$1,'Base de dados IHS'!$A$1:$V$1,0))</f>
        <v>-2.7849894599519935E-4</v>
      </c>
      <c r="T40" t="str">
        <f>IF(Q40&lt;'Cenario A ranking setor PIB'!$G$44,"N","Y")</f>
        <v>N</v>
      </c>
    </row>
    <row r="41" spans="1:20" hidden="1" x14ac:dyDescent="0.45">
      <c r="A41" s="293" t="s">
        <v>141</v>
      </c>
      <c r="B41" s="297" t="s">
        <v>3</v>
      </c>
      <c r="C41" s="297" t="s">
        <v>958</v>
      </c>
      <c r="D41" s="311">
        <v>42074.32931976</v>
      </c>
      <c r="E41" s="311">
        <v>66238.249157230006</v>
      </c>
      <c r="F41" s="302">
        <f t="shared" si="3"/>
        <v>0.57431503313640553</v>
      </c>
      <c r="G41" s="311">
        <v>63888.299334440002</v>
      </c>
      <c r="H41" s="311">
        <v>66238.249157230006</v>
      </c>
      <c r="I41" s="302">
        <f t="shared" si="4"/>
        <v>3.6782162731998413E-2</v>
      </c>
      <c r="J41" s="311">
        <v>83648.835160140006</v>
      </c>
      <c r="K41" s="311">
        <v>86503.901863940002</v>
      </c>
      <c r="L41" s="311">
        <v>89063.262903519993</v>
      </c>
      <c r="M41" s="312">
        <v>95482.545306679996</v>
      </c>
      <c r="N41" t="str">
        <f t="shared" si="5"/>
        <v>United StatesManufacture of basic metals (C24)</v>
      </c>
      <c r="O41" s="11">
        <f>INDEX('Base de dados IHS'!$A$1:$V$676,MATCH($N41,'Base de dados IHS'!$C$1:$C$676,0),MATCH($O$1,'Base de dados IHS'!$A$1:$V$1,0))</f>
        <v>19553083.060252</v>
      </c>
      <c r="P41" s="11">
        <f>INDEX('Base de dados IHS'!$A$1:$V$676,MATCH($N41,'Base de dados IHS'!$C$1:$C$676,0),MATCH($P$1,'Base de dados IHS'!$A$1:$V$1,0))</f>
        <v>22265681.170655001</v>
      </c>
      <c r="Q41" s="131">
        <f>INDEX('Base de dados IHS'!$A$1:$V$676,MATCH($N41,'Base de dados IHS'!$C$1:$C$676,0),MATCH($Q$1,'Base de dados IHS'!$A$1:$V$1,0))</f>
        <v>3.2674284222887462E-3</v>
      </c>
      <c r="R41" s="131">
        <f>INDEX('Base de dados IHS'!$A$1:$V$676,MATCH($N41,'Base de dados IHS'!$C$1:$C$676,0),MATCH($R$1,'Base de dados IHS'!$A$1:$V$1,0))</f>
        <v>2.9749033343982553E-3</v>
      </c>
      <c r="S41" s="131">
        <f>INDEX('Base de dados IHS'!$A$1:$V$676,MATCH($N41,'Base de dados IHS'!$C$1:$C$676,0),MATCH($S$1,'Base de dados IHS'!$A$1:$V$1,0))</f>
        <v>-2.9252508789049097E-4</v>
      </c>
      <c r="T41" t="str">
        <f>IF(Q41&lt;'Cenario A ranking setor PIB'!$G$44,"N","Y")</f>
        <v>N</v>
      </c>
    </row>
    <row r="42" spans="1:20" hidden="1" x14ac:dyDescent="0.45">
      <c r="A42" s="293" t="s">
        <v>97</v>
      </c>
      <c r="B42" s="297" t="s">
        <v>3</v>
      </c>
      <c r="C42" s="297" t="s">
        <v>958</v>
      </c>
      <c r="D42" s="311">
        <v>5364.8838049100004</v>
      </c>
      <c r="E42" s="311">
        <v>5315.0131062099999</v>
      </c>
      <c r="F42" s="302">
        <f t="shared" si="3"/>
        <v>-9.2957649249286733E-3</v>
      </c>
      <c r="G42" s="311">
        <v>5821.1164279300001</v>
      </c>
      <c r="H42" s="311">
        <v>5315.0131062099999</v>
      </c>
      <c r="I42" s="302">
        <f t="shared" si="4"/>
        <v>-8.694265575787008E-2</v>
      </c>
      <c r="J42" s="311">
        <v>4036.3331166799999</v>
      </c>
      <c r="K42" s="311">
        <v>4016.11061621</v>
      </c>
      <c r="L42" s="311">
        <v>4035.80505915</v>
      </c>
      <c r="M42" s="312">
        <v>4154.9711341399998</v>
      </c>
      <c r="N42" t="str">
        <f t="shared" si="5"/>
        <v>FranceManufacture of basic metals (C24)</v>
      </c>
      <c r="O42" s="11">
        <f>INDEX('Base de dados IHS'!$A$1:$V$676,MATCH($N42,'Base de dados IHS'!$C$1:$C$676,0),MATCH($O$1,'Base de dados IHS'!$A$1:$V$1,0))</f>
        <v>2544956.5086996001</v>
      </c>
      <c r="P42" s="11">
        <f>INDEX('Base de dados IHS'!$A$1:$V$676,MATCH($N42,'Base de dados IHS'!$C$1:$C$676,0),MATCH($P$1,'Base de dados IHS'!$A$1:$V$1,0))</f>
        <v>2682424.2983101001</v>
      </c>
      <c r="Q42" s="131">
        <f>INDEX('Base de dados IHS'!$A$1:$V$676,MATCH($N42,'Base de dados IHS'!$C$1:$C$676,0),MATCH($Q$1,'Base de dados IHS'!$A$1:$V$1,0))</f>
        <v>2.287314697925594E-3</v>
      </c>
      <c r="R42" s="131">
        <f>INDEX('Base de dados IHS'!$A$1:$V$676,MATCH($N42,'Base de dados IHS'!$C$1:$C$676,0),MATCH($R$1,'Base de dados IHS'!$A$1:$V$1,0))</f>
        <v>1.9814214736864721E-3</v>
      </c>
      <c r="S42" s="131">
        <f>INDEX('Base de dados IHS'!$A$1:$V$676,MATCH($N42,'Base de dados IHS'!$C$1:$C$676,0),MATCH($S$1,'Base de dados IHS'!$A$1:$V$1,0))</f>
        <v>-3.0589322423912185E-4</v>
      </c>
      <c r="T42" t="str">
        <f>IF(Q42&lt;'Cenario A ranking setor PIB'!$G$44,"N","Y")</f>
        <v>N</v>
      </c>
    </row>
    <row r="43" spans="1:20" hidden="1" x14ac:dyDescent="0.45">
      <c r="A43" s="293" t="s">
        <v>151</v>
      </c>
      <c r="B43" s="297" t="s">
        <v>3</v>
      </c>
      <c r="C43" s="297" t="s">
        <v>958</v>
      </c>
      <c r="D43" s="311">
        <v>1606.50641318</v>
      </c>
      <c r="E43" s="311">
        <v>1385.8792081900001</v>
      </c>
      <c r="F43" s="302">
        <f t="shared" si="3"/>
        <v>-0.13733353516670954</v>
      </c>
      <c r="G43" s="311">
        <v>1403.33087718</v>
      </c>
      <c r="H43" s="311">
        <v>1385.8792081900001</v>
      </c>
      <c r="I43" s="302">
        <f t="shared" si="4"/>
        <v>-1.2435890404598804E-2</v>
      </c>
      <c r="J43" s="311">
        <v>1258.5510657</v>
      </c>
      <c r="K43" s="311">
        <v>1298.36408757</v>
      </c>
      <c r="L43" s="311">
        <v>1325.9272357899999</v>
      </c>
      <c r="M43" s="312">
        <v>1398.43041756</v>
      </c>
      <c r="N43" t="str">
        <f t="shared" si="5"/>
        <v>NorwayManufacture of basic metals (C24)</v>
      </c>
      <c r="O43" s="11">
        <f>INDEX('Base de dados IHS'!$A$1:$V$676,MATCH($N43,'Base de dados IHS'!$C$1:$C$676,0),MATCH($O$1,'Base de dados IHS'!$A$1:$V$1,0))</f>
        <v>386512.35690163</v>
      </c>
      <c r="P43" s="11">
        <f>INDEX('Base de dados IHS'!$A$1:$V$676,MATCH($N43,'Base de dados IHS'!$C$1:$C$676,0),MATCH($P$1,'Base de dados IHS'!$A$1:$V$1,0))</f>
        <v>418559.21595058002</v>
      </c>
      <c r="Q43" s="131">
        <f>INDEX('Base de dados IHS'!$A$1:$V$676,MATCH($N43,'Base de dados IHS'!$C$1:$C$676,0),MATCH($Q$1,'Base de dados IHS'!$A$1:$V$1,0))</f>
        <v>3.6307529426210742E-3</v>
      </c>
      <c r="R43" s="131">
        <f>INDEX('Base de dados IHS'!$A$1:$V$676,MATCH($N43,'Base de dados IHS'!$C$1:$C$676,0),MATCH($R$1,'Base de dados IHS'!$A$1:$V$1,0))</f>
        <v>3.3110708243338097E-3</v>
      </c>
      <c r="S43" s="131">
        <f>INDEX('Base de dados IHS'!$A$1:$V$676,MATCH($N43,'Base de dados IHS'!$C$1:$C$676,0),MATCH($S$1,'Base de dados IHS'!$A$1:$V$1,0))</f>
        <v>-3.1968211828726448E-4</v>
      </c>
      <c r="T43" t="str">
        <f>IF(Q43&lt;'Cenario A ranking setor PIB'!$G$44,"N","Y")</f>
        <v>N</v>
      </c>
    </row>
    <row r="44" spans="1:20" hidden="1" x14ac:dyDescent="0.45">
      <c r="A44" s="293" t="s">
        <v>162</v>
      </c>
      <c r="B44" s="297" t="s">
        <v>3</v>
      </c>
      <c r="C44" s="297" t="s">
        <v>958</v>
      </c>
      <c r="D44" s="311">
        <v>502.54437808</v>
      </c>
      <c r="E44" s="311">
        <v>564.66021771999999</v>
      </c>
      <c r="F44" s="302">
        <f t="shared" si="3"/>
        <v>0.12360269530288481</v>
      </c>
      <c r="G44" s="311">
        <v>523.94852416000003</v>
      </c>
      <c r="H44" s="311">
        <v>564.66021771999999</v>
      </c>
      <c r="I44" s="302">
        <f t="shared" si="4"/>
        <v>7.7701704810161143E-2</v>
      </c>
      <c r="J44" s="311">
        <v>527.56522594</v>
      </c>
      <c r="K44" s="311">
        <v>611.65464671999996</v>
      </c>
      <c r="L44" s="311">
        <v>674.50768527000002</v>
      </c>
      <c r="M44" s="312">
        <v>810.86963925999999</v>
      </c>
      <c r="N44" t="str">
        <f t="shared" si="5"/>
        <v>RomaniaManufacture of basic metals (C24)</v>
      </c>
      <c r="O44" s="11">
        <f>INDEX('Base de dados IHS'!$A$1:$V$676,MATCH($N44,'Base de dados IHS'!$C$1:$C$676,0),MATCH($O$1,'Base de dados IHS'!$A$1:$V$1,0))</f>
        <v>204518.17392167001</v>
      </c>
      <c r="P44" s="11">
        <f>INDEX('Base de dados IHS'!$A$1:$V$676,MATCH($N44,'Base de dados IHS'!$C$1:$C$676,0),MATCH($P$1,'Base de dados IHS'!$A$1:$V$1,0))</f>
        <v>254974.25152873</v>
      </c>
      <c r="Q44" s="131">
        <f>INDEX('Base de dados IHS'!$A$1:$V$676,MATCH($N44,'Base de dados IHS'!$C$1:$C$676,0),MATCH($Q$1,'Base de dados IHS'!$A$1:$V$1,0))</f>
        <v>2.5618677993901467E-3</v>
      </c>
      <c r="R44" s="131">
        <f>INDEX('Base de dados IHS'!$A$1:$V$676,MATCH($N44,'Base de dados IHS'!$C$1:$C$676,0),MATCH($R$1,'Base de dados IHS'!$A$1:$V$1,0))</f>
        <v>2.2145774105993411E-3</v>
      </c>
      <c r="S44" s="131">
        <f>INDEX('Base de dados IHS'!$A$1:$V$676,MATCH($N44,'Base de dados IHS'!$C$1:$C$676,0),MATCH($S$1,'Base de dados IHS'!$A$1:$V$1,0))</f>
        <v>-3.4729038879080564E-4</v>
      </c>
      <c r="T44" t="str">
        <f>IF(Q44&lt;'Cenario A ranking setor PIB'!$G$44,"N","Y")</f>
        <v>N</v>
      </c>
    </row>
    <row r="45" spans="1:20" hidden="1" x14ac:dyDescent="0.45">
      <c r="A45" s="293" t="s">
        <v>67</v>
      </c>
      <c r="B45" s="297" t="s">
        <v>3</v>
      </c>
      <c r="C45" s="297" t="s">
        <v>958</v>
      </c>
      <c r="D45" s="311">
        <v>1651.5824035400001</v>
      </c>
      <c r="E45" s="311">
        <v>1427.72120451</v>
      </c>
      <c r="F45" s="302">
        <f t="shared" si="3"/>
        <v>-0.13554346337801626</v>
      </c>
      <c r="G45" s="311">
        <v>1523.6506586600001</v>
      </c>
      <c r="H45" s="311">
        <v>1427.72120451</v>
      </c>
      <c r="I45" s="302">
        <f t="shared" si="4"/>
        <v>-6.2960268224716787E-2</v>
      </c>
      <c r="J45" s="311">
        <v>1352.78194199</v>
      </c>
      <c r="K45" s="311">
        <v>1366.5426104600001</v>
      </c>
      <c r="L45" s="311">
        <v>1368.3083745900001</v>
      </c>
      <c r="M45" s="312">
        <v>1356.0426971899999</v>
      </c>
      <c r="N45" t="str">
        <f t="shared" si="5"/>
        <v>SwitzerlandManufacture of basic metals (C24)</v>
      </c>
      <c r="O45" s="11">
        <f>INDEX('Base de dados IHS'!$A$1:$V$676,MATCH($N45,'Base de dados IHS'!$C$1:$C$676,0),MATCH($O$1,'Base de dados IHS'!$A$1:$V$1,0))</f>
        <v>669989.49931316997</v>
      </c>
      <c r="P45" s="11">
        <f>INDEX('Base de dados IHS'!$A$1:$V$676,MATCH($N45,'Base de dados IHS'!$C$1:$C$676,0),MATCH($P$1,'Base de dados IHS'!$A$1:$V$1,0))</f>
        <v>743458.79269773001</v>
      </c>
      <c r="Q45" s="131">
        <f>INDEX('Base de dados IHS'!$A$1:$V$676,MATCH($N45,'Base de dados IHS'!$C$1:$C$676,0),MATCH($Q$1,'Base de dados IHS'!$A$1:$V$1,0))</f>
        <v>2.274141102542575E-3</v>
      </c>
      <c r="R45" s="131">
        <f>INDEX('Base de dados IHS'!$A$1:$V$676,MATCH($N45,'Base de dados IHS'!$C$1:$C$676,0),MATCH($R$1,'Base de dados IHS'!$A$1:$V$1,0))</f>
        <v>1.9203770518730987E-3</v>
      </c>
      <c r="S45" s="131">
        <f>INDEX('Base de dados IHS'!$A$1:$V$676,MATCH($N45,'Base de dados IHS'!$C$1:$C$676,0),MATCH($S$1,'Base de dados IHS'!$A$1:$V$1,0))</f>
        <v>-3.5376405066947633E-4</v>
      </c>
      <c r="T45" t="str">
        <f>IF(Q45&lt;'Cenario A ranking setor PIB'!$G$44,"N","Y")</f>
        <v>N</v>
      </c>
    </row>
    <row r="46" spans="1:20" hidden="1" x14ac:dyDescent="0.45">
      <c r="A46" s="293" t="s">
        <v>101</v>
      </c>
      <c r="B46" s="297" t="s">
        <v>3</v>
      </c>
      <c r="C46" s="297" t="s">
        <v>958</v>
      </c>
      <c r="D46" s="311">
        <v>7730.7163266899997</v>
      </c>
      <c r="E46" s="311">
        <v>10165.333740579999</v>
      </c>
      <c r="F46" s="302">
        <f t="shared" si="3"/>
        <v>0.3149277907772372</v>
      </c>
      <c r="G46" s="311">
        <v>10642.96901058</v>
      </c>
      <c r="H46" s="311">
        <v>10165.333740579999</v>
      </c>
      <c r="I46" s="302">
        <f t="shared" si="4"/>
        <v>-4.4878010029456239E-2</v>
      </c>
      <c r="J46" s="311">
        <v>8372.5490699799993</v>
      </c>
      <c r="K46" s="311">
        <v>8715.9295817399998</v>
      </c>
      <c r="L46" s="311">
        <v>9057.2731488699992</v>
      </c>
      <c r="M46" s="312">
        <v>9756.1678993700007</v>
      </c>
      <c r="N46" t="str">
        <f t="shared" si="5"/>
        <v>ItalyManufacture of basic metals (C24)</v>
      </c>
      <c r="O46" s="11">
        <f>INDEX('Base de dados IHS'!$A$1:$V$676,MATCH($N46,'Base de dados IHS'!$C$1:$C$676,0),MATCH($O$1,'Base de dados IHS'!$A$1:$V$1,0))</f>
        <v>1924364.2462229</v>
      </c>
      <c r="P46" s="11">
        <f>INDEX('Base de dados IHS'!$A$1:$V$676,MATCH($N46,'Base de dados IHS'!$C$1:$C$676,0),MATCH($P$1,'Base de dados IHS'!$A$1:$V$1,0))</f>
        <v>1980878.3634254001</v>
      </c>
      <c r="Q46" s="131">
        <f>INDEX('Base de dados IHS'!$A$1:$V$676,MATCH($N46,'Base de dados IHS'!$C$1:$C$676,0),MATCH($Q$1,'Base de dados IHS'!$A$1:$V$1,0))</f>
        <v>5.5306416295510512E-3</v>
      </c>
      <c r="R46" s="131">
        <f>INDEX('Base de dados IHS'!$A$1:$V$676,MATCH($N46,'Base de dados IHS'!$C$1:$C$676,0),MATCH($R$1,'Base de dados IHS'!$A$1:$V$1,0))</f>
        <v>5.131730412261038E-3</v>
      </c>
      <c r="S46" s="131">
        <f>INDEX('Base de dados IHS'!$A$1:$V$676,MATCH($N46,'Base de dados IHS'!$C$1:$C$676,0),MATCH($S$1,'Base de dados IHS'!$A$1:$V$1,0))</f>
        <v>-3.989112172900133E-4</v>
      </c>
      <c r="T46" t="str">
        <f>IF(Q46&lt;'Cenario A ranking setor PIB'!$G$44,"N","Y")</f>
        <v>N</v>
      </c>
    </row>
    <row r="47" spans="1:20" hidden="1" x14ac:dyDescent="0.45">
      <c r="A47" s="293" t="s">
        <v>163</v>
      </c>
      <c r="B47" s="297" t="s">
        <v>3</v>
      </c>
      <c r="C47" s="297" t="s">
        <v>958</v>
      </c>
      <c r="D47" s="311">
        <v>536.85609351999994</v>
      </c>
      <c r="E47" s="311">
        <v>546.39790676999996</v>
      </c>
      <c r="F47" s="302">
        <f t="shared" si="3"/>
        <v>1.7773502741558422E-2</v>
      </c>
      <c r="G47" s="311">
        <v>537.03984244000003</v>
      </c>
      <c r="H47" s="311">
        <v>546.39790676999996</v>
      </c>
      <c r="I47" s="302">
        <f t="shared" si="4"/>
        <v>1.7425270139143301E-2</v>
      </c>
      <c r="J47" s="311">
        <v>502.50615680999999</v>
      </c>
      <c r="K47" s="311">
        <v>524.75478740999995</v>
      </c>
      <c r="L47" s="311">
        <v>541.36605755000005</v>
      </c>
      <c r="M47" s="312">
        <v>577.88422863000005</v>
      </c>
      <c r="N47" t="str">
        <f t="shared" si="5"/>
        <v>New ZealandManufacture of basic metals (C24)</v>
      </c>
      <c r="O47" s="11">
        <f>INDEX('Base de dados IHS'!$A$1:$V$676,MATCH($N47,'Base de dados IHS'!$C$1:$C$676,0),MATCH($O$1,'Base de dados IHS'!$A$1:$V$1,0))</f>
        <v>180884.85070677</v>
      </c>
      <c r="P47" s="11">
        <f>INDEX('Base de dados IHS'!$A$1:$V$676,MATCH($N47,'Base de dados IHS'!$C$1:$C$676,0),MATCH($P$1,'Base de dados IHS'!$A$1:$V$1,0))</f>
        <v>220909.49174857</v>
      </c>
      <c r="Q47" s="131">
        <f>INDEX('Base de dados IHS'!$A$1:$V$676,MATCH($N47,'Base de dados IHS'!$C$1:$C$676,0),MATCH($Q$1,'Base de dados IHS'!$A$1:$V$1,0))</f>
        <v>2.9689597572247115E-3</v>
      </c>
      <c r="R47" s="131">
        <f>INDEX('Base de dados IHS'!$A$1:$V$676,MATCH($N47,'Base de dados IHS'!$C$1:$C$676,0),MATCH($R$1,'Base de dados IHS'!$A$1:$V$1,0))</f>
        <v>2.4734016743467382E-3</v>
      </c>
      <c r="S47" s="131">
        <f>INDEX('Base de dados IHS'!$A$1:$V$676,MATCH($N47,'Base de dados IHS'!$C$1:$C$676,0),MATCH($S$1,'Base de dados IHS'!$A$1:$V$1,0))</f>
        <v>-4.9555808287797326E-4</v>
      </c>
      <c r="T47" t="str">
        <f>IF(Q47&lt;'Cenario A ranking setor PIB'!$G$44,"N","Y")</f>
        <v>N</v>
      </c>
    </row>
    <row r="48" spans="1:20" hidden="1" x14ac:dyDescent="0.45">
      <c r="A48" s="293" t="s">
        <v>166</v>
      </c>
      <c r="B48" s="297" t="s">
        <v>3</v>
      </c>
      <c r="C48" s="297" t="s">
        <v>958</v>
      </c>
      <c r="D48" s="311">
        <v>89.045110699999995</v>
      </c>
      <c r="E48" s="311">
        <v>120.37065887999999</v>
      </c>
      <c r="F48" s="302">
        <f t="shared" si="3"/>
        <v>0.35179414045020674</v>
      </c>
      <c r="G48" s="311">
        <v>111.98521384999999</v>
      </c>
      <c r="H48" s="311">
        <v>120.37065887999999</v>
      </c>
      <c r="I48" s="302">
        <f t="shared" si="4"/>
        <v>7.4879930498967351E-2</v>
      </c>
      <c r="J48" s="311">
        <v>135.52169513000001</v>
      </c>
      <c r="K48" s="311">
        <v>157.25173504</v>
      </c>
      <c r="L48" s="311">
        <v>175.41940055000001</v>
      </c>
      <c r="M48" s="312">
        <v>225.12661423</v>
      </c>
      <c r="N48" t="str">
        <f t="shared" si="5"/>
        <v>HondurasManufacture of basic metals (C24)</v>
      </c>
      <c r="O48" s="11">
        <f>INDEX('Base de dados IHS'!$A$1:$V$676,MATCH($N48,'Base de dados IHS'!$C$1:$C$676,0),MATCH($O$1,'Base de dados IHS'!$A$1:$V$1,0))</f>
        <v>21608.112082880001</v>
      </c>
      <c r="P48" s="11">
        <f>INDEX('Base de dados IHS'!$A$1:$V$676,MATCH($N48,'Base de dados IHS'!$C$1:$C$676,0),MATCH($P$1,'Base de dados IHS'!$A$1:$V$1,0))</f>
        <v>25703.55773198</v>
      </c>
      <c r="Q48" s="131">
        <f>INDEX('Base de dados IHS'!$A$1:$V$676,MATCH($N48,'Base de dados IHS'!$C$1:$C$676,0),MATCH($Q$1,'Base de dados IHS'!$A$1:$V$1,0))</f>
        <v>5.1825542842646264E-3</v>
      </c>
      <c r="R48" s="131">
        <f>INDEX('Base de dados IHS'!$A$1:$V$676,MATCH($N48,'Base de dados IHS'!$C$1:$C$676,0),MATCH($R$1,'Base de dados IHS'!$A$1:$V$1,0))</f>
        <v>4.6830349376201933E-3</v>
      </c>
      <c r="S48" s="131">
        <f>INDEX('Base de dados IHS'!$A$1:$V$676,MATCH($N48,'Base de dados IHS'!$C$1:$C$676,0),MATCH($S$1,'Base de dados IHS'!$A$1:$V$1,0))</f>
        <v>-4.9951934664443313E-4</v>
      </c>
      <c r="T48" t="str">
        <f>IF(Q48&lt;'Cenario A ranking setor PIB'!$G$44,"N","Y")</f>
        <v>N</v>
      </c>
    </row>
    <row r="49" spans="1:20" hidden="1" x14ac:dyDescent="0.45">
      <c r="A49" s="293" t="s">
        <v>113</v>
      </c>
      <c r="B49" s="297" t="s">
        <v>3</v>
      </c>
      <c r="C49" s="297" t="s">
        <v>958</v>
      </c>
      <c r="D49" s="311">
        <v>654.97464175000005</v>
      </c>
      <c r="E49" s="311">
        <v>756.79094486999998</v>
      </c>
      <c r="F49" s="302">
        <f t="shared" si="3"/>
        <v>0.15545075584599899</v>
      </c>
      <c r="G49" s="311">
        <v>705.11672498999997</v>
      </c>
      <c r="H49" s="311">
        <v>756.79094486999998</v>
      </c>
      <c r="I49" s="302">
        <f t="shared" si="4"/>
        <v>7.3284632244020154E-2</v>
      </c>
      <c r="J49" s="311">
        <v>495.29010060000002</v>
      </c>
      <c r="K49" s="311">
        <v>523.51439731999994</v>
      </c>
      <c r="L49" s="311">
        <v>541.88045394999995</v>
      </c>
      <c r="M49" s="312">
        <v>586.33099259000005</v>
      </c>
      <c r="N49" t="str">
        <f t="shared" si="5"/>
        <v>HungaryManufacture of basic metals (C24)</v>
      </c>
      <c r="O49" s="11">
        <f>INDEX('Base de dados IHS'!$A$1:$V$676,MATCH($N49,'Base de dados IHS'!$C$1:$C$676,0),MATCH($O$1,'Base de dados IHS'!$A$1:$V$1,0))</f>
        <v>139098.07965294999</v>
      </c>
      <c r="P49" s="11">
        <f>INDEX('Base de dados IHS'!$A$1:$V$676,MATCH($N49,'Base de dados IHS'!$C$1:$C$676,0),MATCH($P$1,'Base de dados IHS'!$A$1:$V$1,0))</f>
        <v>167320.49519441</v>
      </c>
      <c r="Q49" s="131">
        <f>INDEX('Base de dados IHS'!$A$1:$V$676,MATCH($N49,'Base de dados IHS'!$C$1:$C$676,0),MATCH($Q$1,'Base de dados IHS'!$A$1:$V$1,0))</f>
        <v>5.0692053172068782E-3</v>
      </c>
      <c r="R49" s="131">
        <f>INDEX('Base de dados IHS'!$A$1:$V$676,MATCH($N49,'Base de dados IHS'!$C$1:$C$676,0),MATCH($R$1,'Base de dados IHS'!$A$1:$V$1,0))</f>
        <v>4.5230020625428051E-3</v>
      </c>
      <c r="S49" s="131">
        <f>INDEX('Base de dados IHS'!$A$1:$V$676,MATCH($N49,'Base de dados IHS'!$C$1:$C$676,0),MATCH($S$1,'Base de dados IHS'!$A$1:$V$1,0))</f>
        <v>-5.4620325466407313E-4</v>
      </c>
      <c r="T49" t="str">
        <f>IF(Q49&lt;'Cenario A ranking setor PIB'!$G$44,"N","Y")</f>
        <v>N</v>
      </c>
    </row>
    <row r="50" spans="1:20" hidden="1" x14ac:dyDescent="0.45">
      <c r="A50" s="293" t="s">
        <v>159</v>
      </c>
      <c r="B50" s="297" t="s">
        <v>3</v>
      </c>
      <c r="C50" s="297" t="s">
        <v>958</v>
      </c>
      <c r="D50" s="311">
        <v>457.38847020999998</v>
      </c>
      <c r="E50" s="311">
        <v>591.52334111000005</v>
      </c>
      <c r="F50" s="302">
        <f t="shared" si="3"/>
        <v>0.29326246645092513</v>
      </c>
      <c r="G50" s="311">
        <v>711.54558026999996</v>
      </c>
      <c r="H50" s="311">
        <v>591.52334111000005</v>
      </c>
      <c r="I50" s="302">
        <f t="shared" si="4"/>
        <v>-0.16867821610873723</v>
      </c>
      <c r="J50" s="311">
        <v>718.65215087000001</v>
      </c>
      <c r="K50" s="311">
        <v>792.29067605</v>
      </c>
      <c r="L50" s="311">
        <v>829.30787542999997</v>
      </c>
      <c r="M50" s="312">
        <v>926.52422306000005</v>
      </c>
      <c r="N50" t="str">
        <f t="shared" si="5"/>
        <v>KuwaitManufacture of basic metals (C24)</v>
      </c>
      <c r="O50" s="11">
        <f>INDEX('Base de dados IHS'!$A$1:$V$676,MATCH($N50,'Base de dados IHS'!$C$1:$C$676,0),MATCH($O$1,'Base de dados IHS'!$A$1:$V$1,0))</f>
        <v>136318.13330372999</v>
      </c>
      <c r="P50" s="11">
        <f>INDEX('Base de dados IHS'!$A$1:$V$676,MATCH($N50,'Base de dados IHS'!$C$1:$C$676,0),MATCH($P$1,'Base de dados IHS'!$A$1:$V$1,0))</f>
        <v>128320.86664452001</v>
      </c>
      <c r="Q50" s="131">
        <f>INDEX('Base de dados IHS'!$A$1:$V$676,MATCH($N50,'Base de dados IHS'!$C$1:$C$676,0),MATCH($Q$1,'Base de dados IHS'!$A$1:$V$1,0))</f>
        <v>5.2197426932527576E-3</v>
      </c>
      <c r="R50" s="131">
        <f>INDEX('Base de dados IHS'!$A$1:$V$676,MATCH($N50,'Base de dados IHS'!$C$1:$C$676,0),MATCH($R$1,'Base de dados IHS'!$A$1:$V$1,0))</f>
        <v>4.6097205900943877E-3</v>
      </c>
      <c r="S50" s="131">
        <f>INDEX('Base de dados IHS'!$A$1:$V$676,MATCH($N50,'Base de dados IHS'!$C$1:$C$676,0),MATCH($S$1,'Base de dados IHS'!$A$1:$V$1,0))</f>
        <v>-6.1002210315836986E-4</v>
      </c>
      <c r="T50" t="str">
        <f>IF(Q50&lt;'Cenario A ranking setor PIB'!$G$44,"N","Y")</f>
        <v>N</v>
      </c>
    </row>
    <row r="51" spans="1:20" hidden="1" x14ac:dyDescent="0.45">
      <c r="A51" s="293" t="s">
        <v>74</v>
      </c>
      <c r="B51" s="297" t="s">
        <v>3</v>
      </c>
      <c r="C51" s="297" t="s">
        <v>958</v>
      </c>
      <c r="D51" s="311">
        <v>3221.1007426599999</v>
      </c>
      <c r="E51" s="311">
        <v>3550.4990801499998</v>
      </c>
      <c r="F51" s="302">
        <f t="shared" si="3"/>
        <v>0.10226266230281933</v>
      </c>
      <c r="G51" s="311">
        <v>3447.9898567800001</v>
      </c>
      <c r="H51" s="311">
        <v>3550.4990801499998</v>
      </c>
      <c r="I51" s="302">
        <f t="shared" si="4"/>
        <v>2.9730140640764846E-2</v>
      </c>
      <c r="J51" s="311">
        <v>3379.23477056</v>
      </c>
      <c r="K51" s="311">
        <v>3550.3600981999998</v>
      </c>
      <c r="L51" s="311">
        <v>3666.8272843700001</v>
      </c>
      <c r="M51" s="312">
        <v>3990.92184301</v>
      </c>
      <c r="N51" t="str">
        <f t="shared" si="5"/>
        <v>SwedenManufacture of basic metals (C24)</v>
      </c>
      <c r="O51" s="11">
        <f>INDEX('Base de dados IHS'!$A$1:$V$676,MATCH($N51,'Base de dados IHS'!$C$1:$C$676,0),MATCH($O$1,'Base de dados IHS'!$A$1:$V$1,0))</f>
        <v>490179.06760786998</v>
      </c>
      <c r="P51" s="11">
        <f>INDEX('Base de dados IHS'!$A$1:$V$676,MATCH($N51,'Base de dados IHS'!$C$1:$C$676,0),MATCH($P$1,'Base de dados IHS'!$A$1:$V$1,0))</f>
        <v>552840.30345001002</v>
      </c>
      <c r="Q51" s="131">
        <f>INDEX('Base de dados IHS'!$A$1:$V$676,MATCH($N51,'Base de dados IHS'!$C$1:$C$676,0),MATCH($Q$1,'Base de dados IHS'!$A$1:$V$1,0))</f>
        <v>7.0341434072380641E-3</v>
      </c>
      <c r="R51" s="131">
        <f>INDEX('Base de dados IHS'!$A$1:$V$676,MATCH($N51,'Base de dados IHS'!$C$1:$C$676,0),MATCH($R$1,'Base de dados IHS'!$A$1:$V$1,0))</f>
        <v>6.4222869750867389E-3</v>
      </c>
      <c r="S51" s="131">
        <f>INDEX('Base de dados IHS'!$A$1:$V$676,MATCH($N51,'Base de dados IHS'!$C$1:$C$676,0),MATCH($S$1,'Base de dados IHS'!$A$1:$V$1,0))</f>
        <v>-6.1185643215132517E-4</v>
      </c>
      <c r="T51" t="str">
        <f>IF(Q51&lt;'Cenario A ranking setor PIB'!$G$44,"N","Y")</f>
        <v>N</v>
      </c>
    </row>
    <row r="52" spans="1:20" hidden="1" x14ac:dyDescent="0.45">
      <c r="A52" s="293" t="s">
        <v>120</v>
      </c>
      <c r="B52" s="297" t="s">
        <v>3</v>
      </c>
      <c r="C52" s="297" t="s">
        <v>958</v>
      </c>
      <c r="D52" s="311">
        <v>5004.8097427299999</v>
      </c>
      <c r="E52" s="311">
        <v>3598.2750256999998</v>
      </c>
      <c r="F52" s="302">
        <f t="shared" si="3"/>
        <v>-0.28103660065662561</v>
      </c>
      <c r="G52" s="311">
        <v>3932.3951655699998</v>
      </c>
      <c r="H52" s="311">
        <v>3598.2750256999998</v>
      </c>
      <c r="I52" s="302">
        <f t="shared" si="4"/>
        <v>-8.4966064142124265E-2</v>
      </c>
      <c r="J52" s="311">
        <v>3289.81670876</v>
      </c>
      <c r="K52" s="311">
        <v>3868.3378308000001</v>
      </c>
      <c r="L52" s="311">
        <v>4312.3602027500001</v>
      </c>
      <c r="M52" s="312">
        <v>5479.4798820300002</v>
      </c>
      <c r="N52" t="str">
        <f t="shared" si="5"/>
        <v>AustraliaManufacture of basic metals (C24)</v>
      </c>
      <c r="O52" s="11">
        <f>INDEX('Base de dados IHS'!$A$1:$V$676,MATCH($N52,'Base de dados IHS'!$C$1:$C$676,0),MATCH($O$1,'Base de dados IHS'!$A$1:$V$1,0))</f>
        <v>1256563.3075111001</v>
      </c>
      <c r="P52" s="11">
        <f>INDEX('Base de dados IHS'!$A$1:$V$676,MATCH($N52,'Base de dados IHS'!$C$1:$C$676,0),MATCH($P$1,'Base de dados IHS'!$A$1:$V$1,0))</f>
        <v>1430586.2916371</v>
      </c>
      <c r="Q52" s="131">
        <f>INDEX('Base de dados IHS'!$A$1:$V$676,MATCH($N52,'Base de dados IHS'!$C$1:$C$676,0),MATCH($Q$1,'Base de dados IHS'!$A$1:$V$1,0))</f>
        <v>3.1294843181112562E-3</v>
      </c>
      <c r="R52" s="131">
        <f>INDEX('Base de dados IHS'!$A$1:$V$676,MATCH($N52,'Base de dados IHS'!$C$1:$C$676,0),MATCH($R$1,'Base de dados IHS'!$A$1:$V$1,0))</f>
        <v>2.5152450060053995E-3</v>
      </c>
      <c r="S52" s="131">
        <f>INDEX('Base de dados IHS'!$A$1:$V$676,MATCH($N52,'Base de dados IHS'!$C$1:$C$676,0),MATCH($S$1,'Base de dados IHS'!$A$1:$V$1,0))</f>
        <v>-6.1423931210585671E-4</v>
      </c>
      <c r="T52" t="str">
        <f>IF(Q52&lt;'Cenario A ranking setor PIB'!$G$44,"N","Y")</f>
        <v>N</v>
      </c>
    </row>
    <row r="53" spans="1:20" x14ac:dyDescent="0.45">
      <c r="A53" s="293" t="s">
        <v>100</v>
      </c>
      <c r="B53" s="297" t="s">
        <v>3</v>
      </c>
      <c r="C53" s="297" t="s">
        <v>958</v>
      </c>
      <c r="D53" s="311">
        <v>94959.77617194</v>
      </c>
      <c r="E53" s="311">
        <v>81975.167517780006</v>
      </c>
      <c r="F53" s="302">
        <f t="shared" si="3"/>
        <v>-0.13673798715204699</v>
      </c>
      <c r="G53" s="311">
        <v>84297.378772990007</v>
      </c>
      <c r="H53" s="311">
        <v>81975.167517780006</v>
      </c>
      <c r="I53" s="302">
        <f t="shared" si="4"/>
        <v>-2.7547846552425259E-2</v>
      </c>
      <c r="J53" s="311">
        <v>72781.344773329998</v>
      </c>
      <c r="K53" s="311">
        <v>71667.434136009993</v>
      </c>
      <c r="L53" s="311">
        <v>71402.852020029997</v>
      </c>
      <c r="M53" s="312">
        <v>71042.851864240001</v>
      </c>
      <c r="N53" t="str">
        <f t="shared" si="5"/>
        <v>JapanManufacture of basic metals (C24)</v>
      </c>
      <c r="O53" s="11">
        <f>INDEX('Base de dados IHS'!$A$1:$V$676,MATCH($N53,'Base de dados IHS'!$C$1:$C$676,0),MATCH($O$1,'Base de dados IHS'!$A$1:$V$1,0))</f>
        <v>4983596.864085</v>
      </c>
      <c r="P53" s="11">
        <f>INDEX('Base de dados IHS'!$A$1:$V$676,MATCH($N53,'Base de dados IHS'!$C$1:$C$676,0),MATCH($P$1,'Base de dados IHS'!$A$1:$V$1,0))</f>
        <v>5032370.4042106001</v>
      </c>
      <c r="Q53" s="131">
        <f>INDEX('Base de dados IHS'!$A$1:$V$676,MATCH($N53,'Base de dados IHS'!$C$1:$C$676,0),MATCH($Q$1,'Base de dados IHS'!$A$1:$V$1,0))</f>
        <v>1.6914967456635802E-2</v>
      </c>
      <c r="R53" s="131">
        <f>INDEX('Base de dados IHS'!$A$1:$V$676,MATCH($N53,'Base de dados IHS'!$C$1:$C$676,0),MATCH($R$1,'Base de dados IHS'!$A$1:$V$1,0))</f>
        <v>1.6289573487911605E-2</v>
      </c>
      <c r="S53" s="131">
        <f>INDEX('Base de dados IHS'!$A$1:$V$676,MATCH($N53,'Base de dados IHS'!$C$1:$C$676,0),MATCH($S$1,'Base de dados IHS'!$A$1:$V$1,0))</f>
        <v>-6.2539396872419648E-4</v>
      </c>
      <c r="T53" t="str">
        <f>IF(Q53&lt;'Cenario A ranking setor PIB'!$G$44,"N","Y")</f>
        <v>Y</v>
      </c>
    </row>
    <row r="54" spans="1:20" hidden="1" x14ac:dyDescent="0.45">
      <c r="A54" s="293" t="s">
        <v>124</v>
      </c>
      <c r="B54" s="297" t="s">
        <v>3</v>
      </c>
      <c r="C54" s="297" t="s">
        <v>958</v>
      </c>
      <c r="D54" s="311">
        <v>604.06168889000003</v>
      </c>
      <c r="E54" s="311">
        <v>1532.8177477500001</v>
      </c>
      <c r="F54" s="302">
        <f t="shared" si="3"/>
        <v>1.5375185613354252</v>
      </c>
      <c r="G54" s="311">
        <v>1222.5231950499999</v>
      </c>
      <c r="H54" s="311">
        <v>1532.8177477500001</v>
      </c>
      <c r="I54" s="302">
        <f t="shared" si="4"/>
        <v>0.25381485926515235</v>
      </c>
      <c r="J54" s="311">
        <v>2618.1214312100001</v>
      </c>
      <c r="K54" s="311">
        <v>3441.5357725600002</v>
      </c>
      <c r="L54" s="311">
        <v>4133.5361030100003</v>
      </c>
      <c r="M54" s="312">
        <v>6071.3219461999997</v>
      </c>
      <c r="N54" t="str">
        <f t="shared" si="5"/>
        <v>BangladeshManufacture of basic metals (C24)</v>
      </c>
      <c r="O54" s="11">
        <f>INDEX('Base de dados IHS'!$A$1:$V$676,MATCH($N54,'Base de dados IHS'!$C$1:$C$676,0),MATCH($O$1,'Base de dados IHS'!$A$1:$V$1,0))</f>
        <v>264392.25455249997</v>
      </c>
      <c r="P54" s="11">
        <f>INDEX('Base de dados IHS'!$A$1:$V$676,MATCH($N54,'Base de dados IHS'!$C$1:$C$676,0),MATCH($P$1,'Base de dados IHS'!$A$1:$V$1,0))</f>
        <v>386628.84638325998</v>
      </c>
      <c r="Q54" s="131">
        <f>INDEX('Base de dados IHS'!$A$1:$V$676,MATCH($N54,'Base de dados IHS'!$C$1:$C$676,0),MATCH($Q$1,'Base de dados IHS'!$A$1:$V$1,0))</f>
        <v>4.6238994297287377E-3</v>
      </c>
      <c r="R54" s="131">
        <f>INDEX('Base de dados IHS'!$A$1:$V$676,MATCH($N54,'Base de dados IHS'!$C$1:$C$676,0),MATCH($R$1,'Base de dados IHS'!$A$1:$V$1,0))</f>
        <v>3.964571609409967E-3</v>
      </c>
      <c r="S54" s="131">
        <f>INDEX('Base de dados IHS'!$A$1:$V$676,MATCH($N54,'Base de dados IHS'!$C$1:$C$676,0),MATCH($S$1,'Base de dados IHS'!$A$1:$V$1,0))</f>
        <v>-6.5932782031877073E-4</v>
      </c>
      <c r="T54" t="str">
        <f>IF(Q54&lt;'Cenario A ranking setor PIB'!$G$44,"N","Y")</f>
        <v>N</v>
      </c>
    </row>
    <row r="55" spans="1:20" hidden="1" x14ac:dyDescent="0.45">
      <c r="A55" s="293" t="s">
        <v>164</v>
      </c>
      <c r="B55" s="297" t="s">
        <v>3</v>
      </c>
      <c r="C55" s="297" t="s">
        <v>958</v>
      </c>
      <c r="D55" s="311">
        <v>507.75064724999999</v>
      </c>
      <c r="E55" s="311">
        <v>379.98763752000002</v>
      </c>
      <c r="F55" s="302">
        <f t="shared" si="3"/>
        <v>-0.25162549850398042</v>
      </c>
      <c r="G55" s="311">
        <v>417.70669991</v>
      </c>
      <c r="H55" s="311">
        <v>379.98763752000002</v>
      </c>
      <c r="I55" s="302">
        <f t="shared" si="4"/>
        <v>-9.0300352850761101E-2</v>
      </c>
      <c r="J55" s="311">
        <v>480.78290876</v>
      </c>
      <c r="K55" s="311">
        <v>541.28563737000002</v>
      </c>
      <c r="L55" s="311">
        <v>578.94024129000002</v>
      </c>
      <c r="M55" s="312">
        <v>693.27959452000005</v>
      </c>
      <c r="N55" t="str">
        <f t="shared" si="5"/>
        <v>MoroccoManufacture of basic metals (C24)</v>
      </c>
      <c r="O55" s="11">
        <f>INDEX('Base de dados IHS'!$A$1:$V$676,MATCH($N55,'Base de dados IHS'!$C$1:$C$676,0),MATCH($O$1,'Base de dados IHS'!$A$1:$V$1,0))</f>
        <v>115608.87885166</v>
      </c>
      <c r="P55" s="11">
        <f>INDEX('Base de dados IHS'!$A$1:$V$676,MATCH($N55,'Base de dados IHS'!$C$1:$C$676,0),MATCH($P$1,'Base de dados IHS'!$A$1:$V$1,0))</f>
        <v>129710.11086108</v>
      </c>
      <c r="Q55" s="131">
        <f>INDEX('Base de dados IHS'!$A$1:$V$676,MATCH($N55,'Base de dados IHS'!$C$1:$C$676,0),MATCH($Q$1,'Base de dados IHS'!$A$1:$V$1,0))</f>
        <v>3.6131022466359833E-3</v>
      </c>
      <c r="R55" s="131">
        <f>INDEX('Base de dados IHS'!$A$1:$V$676,MATCH($N55,'Base de dados IHS'!$C$1:$C$676,0),MATCH($R$1,'Base de dados IHS'!$A$1:$V$1,0))</f>
        <v>2.9295143994362027E-3</v>
      </c>
      <c r="S55" s="131">
        <f>INDEX('Base de dados IHS'!$A$1:$V$676,MATCH($N55,'Base de dados IHS'!$C$1:$C$676,0),MATCH($S$1,'Base de dados IHS'!$A$1:$V$1,0))</f>
        <v>-6.8358784719978064E-4</v>
      </c>
      <c r="T55" t="str">
        <f>IF(Q55&lt;'Cenario A ranking setor PIB'!$G$44,"N","Y")</f>
        <v>N</v>
      </c>
    </row>
    <row r="56" spans="1:20" x14ac:dyDescent="0.45">
      <c r="A56" s="293" t="s">
        <v>106</v>
      </c>
      <c r="B56" s="297" t="s">
        <v>3</v>
      </c>
      <c r="C56" s="297" t="s">
        <v>958</v>
      </c>
      <c r="D56" s="311">
        <v>32838.35420265</v>
      </c>
      <c r="E56" s="311">
        <v>38511.382638460003</v>
      </c>
      <c r="F56" s="302">
        <f t="shared" si="3"/>
        <v>0.17275617410059474</v>
      </c>
      <c r="G56" s="311">
        <v>36188.329894089999</v>
      </c>
      <c r="H56" s="311">
        <v>38511.382638460003</v>
      </c>
      <c r="I56" s="302">
        <f t="shared" si="4"/>
        <v>6.419342233169445E-2</v>
      </c>
      <c r="J56" s="311">
        <v>41028.816937670003</v>
      </c>
      <c r="K56" s="311">
        <v>43245.076244030002</v>
      </c>
      <c r="L56" s="311">
        <v>44809.120578310001</v>
      </c>
      <c r="M56" s="312">
        <v>47982.918529499999</v>
      </c>
      <c r="N56" t="str">
        <f t="shared" si="5"/>
        <v>RussiaManufacture of basic metals (C24)</v>
      </c>
      <c r="O56" s="11">
        <f>INDEX('Base de dados IHS'!$A$1:$V$676,MATCH($N56,'Base de dados IHS'!$C$1:$C$676,0),MATCH($O$1,'Base de dados IHS'!$A$1:$V$1,0))</f>
        <v>1579786.0768998</v>
      </c>
      <c r="P56" s="11">
        <f>INDEX('Base de dados IHS'!$A$1:$V$676,MATCH($N56,'Base de dados IHS'!$C$1:$C$676,0),MATCH($P$1,'Base de dados IHS'!$A$1:$V$1,0))</f>
        <v>1741025.8573970001</v>
      </c>
      <c r="Q56" s="131">
        <f>INDEX('Base de dados IHS'!$A$1:$V$676,MATCH($N56,'Base de dados IHS'!$C$1:$C$676,0),MATCH($Q$1,'Base de dados IHS'!$A$1:$V$1,0))</f>
        <v>2.2907107755441556E-2</v>
      </c>
      <c r="R56" s="131">
        <f>INDEX('Base de dados IHS'!$A$1:$V$676,MATCH($N56,'Base de dados IHS'!$C$1:$C$676,0),MATCH($R$1,'Base de dados IHS'!$A$1:$V$1,0))</f>
        <v>2.2119937205319972E-2</v>
      </c>
      <c r="S56" s="131">
        <f>INDEX('Base de dados IHS'!$A$1:$V$676,MATCH($N56,'Base de dados IHS'!$C$1:$C$676,0),MATCH($S$1,'Base de dados IHS'!$A$1:$V$1,0))</f>
        <v>-7.8717055012158393E-4</v>
      </c>
      <c r="T56" t="str">
        <f>IF(Q56&lt;'Cenario A ranking setor PIB'!$G$44,"N","Y")</f>
        <v>Y</v>
      </c>
    </row>
    <row r="57" spans="1:20" hidden="1" x14ac:dyDescent="0.45">
      <c r="A57" s="293" t="s">
        <v>176</v>
      </c>
      <c r="B57" s="297" t="s">
        <v>3</v>
      </c>
      <c r="C57" s="297" t="s">
        <v>958</v>
      </c>
      <c r="D57" s="311">
        <v>80.674084620000002</v>
      </c>
      <c r="E57" s="311">
        <v>49.083939979999997</v>
      </c>
      <c r="F57" s="302">
        <f t="shared" si="3"/>
        <v>-0.39157735459657705</v>
      </c>
      <c r="G57" s="311">
        <v>77.715619860000004</v>
      </c>
      <c r="H57" s="311">
        <v>49.083939979999997</v>
      </c>
      <c r="I57" s="302">
        <f t="shared" si="4"/>
        <v>-0.36841602668264439</v>
      </c>
      <c r="J57" s="311">
        <v>48.710464270000003</v>
      </c>
      <c r="K57" s="311">
        <v>50.542375759999999</v>
      </c>
      <c r="L57" s="311">
        <v>51.871371549999999</v>
      </c>
      <c r="M57" s="312">
        <v>54.76912197</v>
      </c>
      <c r="N57" t="str">
        <f t="shared" si="5"/>
        <v>JordanManufacture of basic metals (C24)</v>
      </c>
      <c r="O57" s="11">
        <f>INDEX('Base de dados IHS'!$A$1:$V$676,MATCH($N57,'Base de dados IHS'!$C$1:$C$676,0),MATCH($O$1,'Base de dados IHS'!$A$1:$V$1,0))</f>
        <v>41181.394892199998</v>
      </c>
      <c r="P57" s="11">
        <f>INDEX('Base de dados IHS'!$A$1:$V$676,MATCH($N57,'Base de dados IHS'!$C$1:$C$676,0),MATCH($P$1,'Base de dados IHS'!$A$1:$V$1,0))</f>
        <v>44841.419332370002</v>
      </c>
      <c r="Q57" s="131">
        <f>INDEX('Base de dados IHS'!$A$1:$V$676,MATCH($N57,'Base de dados IHS'!$C$1:$C$676,0),MATCH($Q$1,'Base de dados IHS'!$A$1:$V$1,0))</f>
        <v>1.8871536543003259E-3</v>
      </c>
      <c r="R57" s="131">
        <f>INDEX('Base de dados IHS'!$A$1:$V$676,MATCH($N57,'Base de dados IHS'!$C$1:$C$676,0),MATCH($R$1,'Base de dados IHS'!$A$1:$V$1,0))</f>
        <v>1.0946116494704131E-3</v>
      </c>
      <c r="S57" s="131">
        <f>INDEX('Base de dados IHS'!$A$1:$V$676,MATCH($N57,'Base de dados IHS'!$C$1:$C$676,0),MATCH($S$1,'Base de dados IHS'!$A$1:$V$1,0))</f>
        <v>-7.9254200482991276E-4</v>
      </c>
      <c r="T57" t="str">
        <f>IF(Q57&lt;'Cenario A ranking setor PIB'!$G$44,"N","Y")</f>
        <v>N</v>
      </c>
    </row>
    <row r="58" spans="1:20" hidden="1" x14ac:dyDescent="0.45">
      <c r="A58" s="293" t="s">
        <v>108</v>
      </c>
      <c r="B58" s="297" t="s">
        <v>3</v>
      </c>
      <c r="C58" s="297" t="s">
        <v>958</v>
      </c>
      <c r="D58" s="311">
        <v>4170.31212375</v>
      </c>
      <c r="E58" s="311">
        <v>6320.7399777600003</v>
      </c>
      <c r="F58" s="302">
        <f t="shared" si="3"/>
        <v>0.51565153643135631</v>
      </c>
      <c r="G58" s="311">
        <v>5408.3922127300002</v>
      </c>
      <c r="H58" s="311">
        <v>6320.7399777600003</v>
      </c>
      <c r="I58" s="302">
        <f t="shared" si="4"/>
        <v>0.16869112467149883</v>
      </c>
      <c r="J58" s="311">
        <v>6313.29490394</v>
      </c>
      <c r="K58" s="311">
        <v>7394.0978163500004</v>
      </c>
      <c r="L58" s="311">
        <v>8302.77794894</v>
      </c>
      <c r="M58" s="312">
        <v>11135.141072550001</v>
      </c>
      <c r="N58" t="str">
        <f t="shared" si="5"/>
        <v>TurkeyManufacture of basic metals (C24)</v>
      </c>
      <c r="O58" s="11">
        <f>INDEX('Base de dados IHS'!$A$1:$V$676,MATCH($N58,'Base de dados IHS'!$C$1:$C$676,0),MATCH($O$1,'Base de dados IHS'!$A$1:$V$1,0))</f>
        <v>659235.83503077005</v>
      </c>
      <c r="P58" s="11">
        <f>INDEX('Base de dados IHS'!$A$1:$V$676,MATCH($N58,'Base de dados IHS'!$C$1:$C$676,0),MATCH($P$1,'Base de dados IHS'!$A$1:$V$1,0))</f>
        <v>865088.75381619995</v>
      </c>
      <c r="Q58" s="131">
        <f>INDEX('Base de dados IHS'!$A$1:$V$676,MATCH($N58,'Base de dados IHS'!$C$1:$C$676,0),MATCH($Q$1,'Base de dados IHS'!$A$1:$V$1,0))</f>
        <v>8.2040324954082058E-3</v>
      </c>
      <c r="R58" s="131">
        <f>INDEX('Base de dados IHS'!$A$1:$V$676,MATCH($N58,'Base de dados IHS'!$C$1:$C$676,0),MATCH($R$1,'Base de dados IHS'!$A$1:$V$1,0))</f>
        <v>7.3064641632168631E-3</v>
      </c>
      <c r="S58" s="131">
        <f>INDEX('Base de dados IHS'!$A$1:$V$676,MATCH($N58,'Base de dados IHS'!$C$1:$C$676,0),MATCH($S$1,'Base de dados IHS'!$A$1:$V$1,0))</f>
        <v>-8.9756833219134264E-4</v>
      </c>
      <c r="T58" t="str">
        <f>IF(Q58&lt;'Cenario A ranking setor PIB'!$G$44,"N","Y")</f>
        <v>N</v>
      </c>
    </row>
    <row r="59" spans="1:20" hidden="1" x14ac:dyDescent="0.45">
      <c r="A59" s="293" t="s">
        <v>98</v>
      </c>
      <c r="B59" s="297" t="s">
        <v>3</v>
      </c>
      <c r="C59" s="297" t="s">
        <v>958</v>
      </c>
      <c r="D59" s="311">
        <v>19821.244646679999</v>
      </c>
      <c r="E59" s="311">
        <v>21408.898369260001</v>
      </c>
      <c r="F59" s="302">
        <f t="shared" si="3"/>
        <v>8.0098588705221907E-2</v>
      </c>
      <c r="G59" s="311">
        <v>23510.00979779</v>
      </c>
      <c r="H59" s="311">
        <v>21408.898369260001</v>
      </c>
      <c r="I59" s="302">
        <f t="shared" si="4"/>
        <v>-8.9370929514776654E-2</v>
      </c>
      <c r="J59" s="311">
        <v>18489.261423010001</v>
      </c>
      <c r="K59" s="311">
        <v>18518.02837321</v>
      </c>
      <c r="L59" s="311">
        <v>18567.816896519998</v>
      </c>
      <c r="M59" s="312">
        <v>18305.598141589999</v>
      </c>
      <c r="N59" t="str">
        <f t="shared" si="5"/>
        <v>GermanyManufacture of basic metals (C24)</v>
      </c>
      <c r="O59" s="11">
        <f>INDEX('Base de dados IHS'!$A$1:$V$676,MATCH($N59,'Base de dados IHS'!$C$1:$C$676,0),MATCH($O$1,'Base de dados IHS'!$A$1:$V$1,0))</f>
        <v>3626843.1759532001</v>
      </c>
      <c r="P59" s="11">
        <f>INDEX('Base de dados IHS'!$A$1:$V$676,MATCH($N59,'Base de dados IHS'!$C$1:$C$676,0),MATCH($P$1,'Base de dados IHS'!$A$1:$V$1,0))</f>
        <v>3849084.4984781002</v>
      </c>
      <c r="Q59" s="131">
        <f>INDEX('Base de dados IHS'!$A$1:$V$676,MATCH($N59,'Base de dados IHS'!$C$1:$C$676,0),MATCH($Q$1,'Base de dados IHS'!$A$1:$V$1,0))</f>
        <v>6.4822239774983224E-3</v>
      </c>
      <c r="R59" s="131">
        <f>INDEX('Base de dados IHS'!$A$1:$V$676,MATCH($N59,'Base de dados IHS'!$C$1:$C$676,0),MATCH($R$1,'Base de dados IHS'!$A$1:$V$1,0))</f>
        <v>5.5620754435827336E-3</v>
      </c>
      <c r="S59" s="131">
        <f>INDEX('Base de dados IHS'!$A$1:$V$676,MATCH($N59,'Base de dados IHS'!$C$1:$C$676,0),MATCH($S$1,'Base de dados IHS'!$A$1:$V$1,0))</f>
        <v>-9.201485339155888E-4</v>
      </c>
      <c r="T59" t="str">
        <f>IF(Q59&lt;'Cenario A ranking setor PIB'!$G$44,"N","Y")</f>
        <v>N</v>
      </c>
    </row>
    <row r="60" spans="1:20" hidden="1" x14ac:dyDescent="0.45">
      <c r="A60" s="293" t="s">
        <v>112</v>
      </c>
      <c r="B60" s="297" t="s">
        <v>3</v>
      </c>
      <c r="C60" s="297" t="s">
        <v>958</v>
      </c>
      <c r="D60" s="311">
        <v>2584.7116854999999</v>
      </c>
      <c r="E60" s="311">
        <v>2807.1882382899998</v>
      </c>
      <c r="F60" s="302">
        <f t="shared" si="3"/>
        <v>8.6074030630988174E-2</v>
      </c>
      <c r="G60" s="311">
        <v>2703.5757635599998</v>
      </c>
      <c r="H60" s="311">
        <v>2807.1882382899998</v>
      </c>
      <c r="I60" s="302">
        <f t="shared" si="4"/>
        <v>3.8324235675779805E-2</v>
      </c>
      <c r="J60" s="311">
        <v>2732.26702467</v>
      </c>
      <c r="K60" s="311">
        <v>2936.3744646</v>
      </c>
      <c r="L60" s="311">
        <v>3053.4748141599998</v>
      </c>
      <c r="M60" s="312">
        <v>3208.99866359</v>
      </c>
      <c r="N60" t="str">
        <f t="shared" si="5"/>
        <v>PolandManufacture of basic metals (C24)</v>
      </c>
      <c r="O60" s="11">
        <f>INDEX('Base de dados IHS'!$A$1:$V$676,MATCH($N60,'Base de dados IHS'!$C$1:$C$676,0),MATCH($O$1,'Base de dados IHS'!$A$1:$V$1,0))</f>
        <v>496555.53410177003</v>
      </c>
      <c r="P60" s="11">
        <f>INDEX('Base de dados IHS'!$A$1:$V$676,MATCH($N60,'Base de dados IHS'!$C$1:$C$676,0),MATCH($P$1,'Base de dados IHS'!$A$1:$V$1,0))</f>
        <v>623108.57565016998</v>
      </c>
      <c r="Q60" s="131">
        <f>INDEX('Base de dados IHS'!$A$1:$V$676,MATCH($N60,'Base de dados IHS'!$C$1:$C$676,0),MATCH($Q$1,'Base de dados IHS'!$A$1:$V$1,0))</f>
        <v>5.4446594144813149E-3</v>
      </c>
      <c r="R60" s="131">
        <f>INDEX('Base de dados IHS'!$A$1:$V$676,MATCH($N60,'Base de dados IHS'!$C$1:$C$676,0),MATCH($R$1,'Base de dados IHS'!$A$1:$V$1,0))</f>
        <v>4.5051349764539776E-3</v>
      </c>
      <c r="S60" s="131">
        <f>INDEX('Base de dados IHS'!$A$1:$V$676,MATCH($N60,'Base de dados IHS'!$C$1:$C$676,0),MATCH($S$1,'Base de dados IHS'!$A$1:$V$1,0))</f>
        <v>-9.3952443802733723E-4</v>
      </c>
      <c r="T60" t="str">
        <f>IF(Q60&lt;'Cenario A ranking setor PIB'!$G$44,"N","Y")</f>
        <v>N</v>
      </c>
    </row>
    <row r="61" spans="1:20" hidden="1" x14ac:dyDescent="0.45">
      <c r="A61" s="293" t="s">
        <v>147</v>
      </c>
      <c r="B61" s="297" t="s">
        <v>3</v>
      </c>
      <c r="C61" s="297" t="s">
        <v>958</v>
      </c>
      <c r="D61" s="311">
        <v>1656.7538382499999</v>
      </c>
      <c r="E61" s="311">
        <v>1938.8773249000001</v>
      </c>
      <c r="F61" s="302">
        <f t="shared" si="3"/>
        <v>0.17028690692396542</v>
      </c>
      <c r="G61" s="311">
        <v>1893.3755943199999</v>
      </c>
      <c r="H61" s="311">
        <v>1938.8773249000001</v>
      </c>
      <c r="I61" s="302">
        <f t="shared" si="4"/>
        <v>2.4032067761146969E-2</v>
      </c>
      <c r="J61" s="311">
        <v>2353.8887631600001</v>
      </c>
      <c r="K61" s="311">
        <v>2682.8558932000001</v>
      </c>
      <c r="L61" s="311">
        <v>2962.4364470700002</v>
      </c>
      <c r="M61" s="312">
        <v>3746.4051055099999</v>
      </c>
      <c r="N61" t="str">
        <f t="shared" si="5"/>
        <v>PeruManufacture of basic metals (C24)</v>
      </c>
      <c r="O61" s="11">
        <f>INDEX('Base de dados IHS'!$A$1:$V$676,MATCH($N61,'Base de dados IHS'!$C$1:$C$676,0),MATCH($O$1,'Base de dados IHS'!$A$1:$V$1,0))</f>
        <v>205342.67167914001</v>
      </c>
      <c r="P61" s="11">
        <f>INDEX('Base de dados IHS'!$A$1:$V$676,MATCH($N61,'Base de dados IHS'!$C$1:$C$676,0),MATCH($P$1,'Base de dados IHS'!$A$1:$V$1,0))</f>
        <v>235110.76142220001</v>
      </c>
      <c r="Q61" s="131">
        <f>INDEX('Base de dados IHS'!$A$1:$V$676,MATCH($N61,'Base de dados IHS'!$C$1:$C$676,0),MATCH($Q$1,'Base de dados IHS'!$A$1:$V$1,0))</f>
        <v>9.2205656955633188E-3</v>
      </c>
      <c r="R61" s="131">
        <f>INDEX('Base de dados IHS'!$A$1:$V$676,MATCH($N61,'Base de dados IHS'!$C$1:$C$676,0),MATCH($R$1,'Base de dados IHS'!$A$1:$V$1,0))</f>
        <v>8.2466549517836076E-3</v>
      </c>
      <c r="S61" s="131">
        <f>INDEX('Base de dados IHS'!$A$1:$V$676,MATCH($N61,'Base de dados IHS'!$C$1:$C$676,0),MATCH($S$1,'Base de dados IHS'!$A$1:$V$1,0))</f>
        <v>-9.7391074377971114E-4</v>
      </c>
      <c r="T61" t="str">
        <f>IF(Q61&lt;'Cenario A ranking setor PIB'!$G$44,"N","Y")</f>
        <v>N</v>
      </c>
    </row>
    <row r="62" spans="1:20" hidden="1" x14ac:dyDescent="0.45">
      <c r="A62" s="293" t="s">
        <v>63</v>
      </c>
      <c r="B62" s="297" t="s">
        <v>3</v>
      </c>
      <c r="C62" s="297" t="s">
        <v>958</v>
      </c>
      <c r="D62" s="311">
        <v>8098.5557140600004</v>
      </c>
      <c r="E62" s="311">
        <v>7957.5198683600001</v>
      </c>
      <c r="F62" s="302">
        <f t="shared" si="3"/>
        <v>-1.7414938006186209E-2</v>
      </c>
      <c r="G62" s="311">
        <v>8931.2571638699992</v>
      </c>
      <c r="H62" s="311">
        <v>7957.5198683600001</v>
      </c>
      <c r="I62" s="302">
        <f t="shared" si="4"/>
        <v>-0.10902578188534318</v>
      </c>
      <c r="J62" s="311">
        <v>7972.4368591399998</v>
      </c>
      <c r="K62" s="311">
        <v>8544.9086475799995</v>
      </c>
      <c r="L62" s="311">
        <v>9056.1625255100007</v>
      </c>
      <c r="M62" s="312">
        <v>10292.62247785</v>
      </c>
      <c r="N62" t="str">
        <f t="shared" si="5"/>
        <v>CanadaManufacture of basic metals (C24)</v>
      </c>
      <c r="O62" s="11">
        <f>INDEX('Base de dados IHS'!$A$1:$V$676,MATCH($N62,'Base de dados IHS'!$C$1:$C$676,0),MATCH($O$1,'Base de dados IHS'!$A$1:$V$1,0))</f>
        <v>1599989.9756132001</v>
      </c>
      <c r="P62" s="11">
        <f>INDEX('Base de dados IHS'!$A$1:$V$676,MATCH($N62,'Base de dados IHS'!$C$1:$C$676,0),MATCH($P$1,'Base de dados IHS'!$A$1:$V$1,0))</f>
        <v>1743385.5162593001</v>
      </c>
      <c r="Q62" s="131">
        <f>INDEX('Base de dados IHS'!$A$1:$V$676,MATCH($N62,'Base de dados IHS'!$C$1:$C$676,0),MATCH($Q$1,'Base de dados IHS'!$A$1:$V$1,0))</f>
        <v>5.5820707004411527E-3</v>
      </c>
      <c r="R62" s="131">
        <f>INDEX('Base de dados IHS'!$A$1:$V$676,MATCH($N62,'Base de dados IHS'!$C$1:$C$676,0),MATCH($R$1,'Base de dados IHS'!$A$1:$V$1,0))</f>
        <v>4.5644063198563645E-3</v>
      </c>
      <c r="S62" s="131">
        <f>INDEX('Base de dados IHS'!$A$1:$V$676,MATCH($N62,'Base de dados IHS'!$C$1:$C$676,0),MATCH($S$1,'Base de dados IHS'!$A$1:$V$1,0))</f>
        <v>-1.0176643805847882E-3</v>
      </c>
      <c r="T62" t="str">
        <f>IF(Q62&lt;'Cenario A ranking setor PIB'!$G$44,"N","Y")</f>
        <v>N</v>
      </c>
    </row>
    <row r="63" spans="1:20" hidden="1" x14ac:dyDescent="0.45">
      <c r="A63" s="293" t="s">
        <v>76</v>
      </c>
      <c r="B63" s="297" t="s">
        <v>3</v>
      </c>
      <c r="C63" s="297" t="s">
        <v>958</v>
      </c>
      <c r="D63" s="311">
        <v>5215.7872937800003</v>
      </c>
      <c r="E63" s="311">
        <v>5575.6116688599996</v>
      </c>
      <c r="F63" s="302">
        <f t="shared" si="3"/>
        <v>6.8987547768503132E-2</v>
      </c>
      <c r="G63" s="311">
        <v>8009.2762484799996</v>
      </c>
      <c r="H63" s="311">
        <v>5575.6116688599996</v>
      </c>
      <c r="I63" s="302">
        <f t="shared" si="4"/>
        <v>-0.3038557422815652</v>
      </c>
      <c r="J63" s="311">
        <v>5028.1659479399996</v>
      </c>
      <c r="K63" s="311">
        <v>5057.53282674</v>
      </c>
      <c r="L63" s="311">
        <v>5069.3897373500004</v>
      </c>
      <c r="M63" s="312">
        <v>5186.99908297</v>
      </c>
      <c r="N63" t="str">
        <f t="shared" si="5"/>
        <v>United KingdomManufacture of basic metals (C24)</v>
      </c>
      <c r="O63" s="11">
        <f>INDEX('Base de dados IHS'!$A$1:$V$676,MATCH($N63,'Base de dados IHS'!$C$1:$C$676,0),MATCH($O$1,'Base de dados IHS'!$A$1:$V$1,0))</f>
        <v>2643868.3114987002</v>
      </c>
      <c r="P63" s="11">
        <f>INDEX('Base de dados IHS'!$A$1:$V$676,MATCH($N63,'Base de dados IHS'!$C$1:$C$676,0),MATCH($P$1,'Base de dados IHS'!$A$1:$V$1,0))</f>
        <v>2777419.6130784</v>
      </c>
      <c r="Q63" s="131">
        <f>INDEX('Base de dados IHS'!$A$1:$V$676,MATCH($N63,'Base de dados IHS'!$C$1:$C$676,0),MATCH($Q$1,'Base de dados IHS'!$A$1:$V$1,0))</f>
        <v>3.0293779057171989E-3</v>
      </c>
      <c r="R63" s="131">
        <f>INDEX('Base de dados IHS'!$A$1:$V$676,MATCH($N63,'Base de dados IHS'!$C$1:$C$676,0),MATCH($R$1,'Base de dados IHS'!$A$1:$V$1,0))</f>
        <v>2.0074790437157519E-3</v>
      </c>
      <c r="S63" s="131">
        <f>INDEX('Base de dados IHS'!$A$1:$V$676,MATCH($N63,'Base de dados IHS'!$C$1:$C$676,0),MATCH($S$1,'Base de dados IHS'!$A$1:$V$1,0))</f>
        <v>-1.021898862001447E-3</v>
      </c>
      <c r="T63" t="str">
        <f>IF(Q63&lt;'Cenario A ranking setor PIB'!$G$44,"N","Y")</f>
        <v>N</v>
      </c>
    </row>
    <row r="64" spans="1:20" x14ac:dyDescent="0.45">
      <c r="A64" s="293" t="s">
        <v>149</v>
      </c>
      <c r="B64" s="297" t="s">
        <v>3</v>
      </c>
      <c r="C64" s="297" t="s">
        <v>958</v>
      </c>
      <c r="D64" s="311">
        <v>2559.6334916599999</v>
      </c>
      <c r="E64" s="311">
        <v>1708.8052381099999</v>
      </c>
      <c r="F64" s="302">
        <f t="shared" si="3"/>
        <v>-0.33240237570036324</v>
      </c>
      <c r="G64" s="311">
        <v>1687.99633092</v>
      </c>
      <c r="H64" s="311">
        <v>1708.8052381099999</v>
      </c>
      <c r="I64" s="302">
        <f t="shared" si="4"/>
        <v>1.2327578448383614E-2</v>
      </c>
      <c r="J64" s="311">
        <v>1030.98892718</v>
      </c>
      <c r="K64" s="311">
        <v>1346.41373103</v>
      </c>
      <c r="L64" s="311">
        <v>1801.88494309</v>
      </c>
      <c r="M64" s="312">
        <v>3351.3342050699998</v>
      </c>
      <c r="N64" t="str">
        <f t="shared" si="5"/>
        <v>UkraineManufacture of basic metals (C24)</v>
      </c>
      <c r="O64" s="11">
        <f>INDEX('Base de dados IHS'!$A$1:$V$676,MATCH($N64,'Base de dados IHS'!$C$1:$C$676,0),MATCH($O$1,'Base de dados IHS'!$A$1:$V$1,0))</f>
        <v>137743.94890503999</v>
      </c>
      <c r="P64" s="11">
        <f>INDEX('Base de dados IHS'!$A$1:$V$676,MATCH($N64,'Base de dados IHS'!$C$1:$C$676,0),MATCH($P$1,'Base de dados IHS'!$A$1:$V$1,0))</f>
        <v>153275.23415388001</v>
      </c>
      <c r="Q64" s="131">
        <f>INDEX('Base de dados IHS'!$A$1:$V$676,MATCH($N64,'Base de dados IHS'!$C$1:$C$676,0),MATCH($Q$1,'Base de dados IHS'!$A$1:$V$1,0))</f>
        <v>1.2254595169793605E-2</v>
      </c>
      <c r="R64" s="131">
        <f>INDEX('Base de dados IHS'!$A$1:$V$676,MATCH($N64,'Base de dados IHS'!$C$1:$C$676,0),MATCH($R$1,'Base de dados IHS'!$A$1:$V$1,0))</f>
        <v>1.1148606280349586E-2</v>
      </c>
      <c r="S64" s="131">
        <f>INDEX('Base de dados IHS'!$A$1:$V$676,MATCH($N64,'Base de dados IHS'!$C$1:$C$676,0),MATCH($S$1,'Base de dados IHS'!$A$1:$V$1,0))</f>
        <v>-1.1059888894440189E-3</v>
      </c>
      <c r="T64" t="str">
        <f>IF(Q64&lt;'Cenario A ranking setor PIB'!$G$44,"N","Y")</f>
        <v>Y</v>
      </c>
    </row>
    <row r="65" spans="1:20" hidden="1" x14ac:dyDescent="0.45">
      <c r="A65" s="293" t="s">
        <v>152</v>
      </c>
      <c r="B65" s="297" t="s">
        <v>3</v>
      </c>
      <c r="C65" s="297" t="s">
        <v>958</v>
      </c>
      <c r="D65" s="311">
        <v>1418.2663462400001</v>
      </c>
      <c r="E65" s="311">
        <v>1367.81858085</v>
      </c>
      <c r="F65" s="302">
        <f t="shared" si="3"/>
        <v>-3.5570022177952243E-2</v>
      </c>
      <c r="G65" s="311">
        <v>1551.27332514</v>
      </c>
      <c r="H65" s="311">
        <v>1367.81858085</v>
      </c>
      <c r="I65" s="302">
        <f t="shared" si="4"/>
        <v>-0.11826074832650368</v>
      </c>
      <c r="J65" s="311">
        <v>1423.3236311200001</v>
      </c>
      <c r="K65" s="311">
        <v>1588.2500253400001</v>
      </c>
      <c r="L65" s="311">
        <v>1715.18207628</v>
      </c>
      <c r="M65" s="312">
        <v>2036.12815578</v>
      </c>
      <c r="N65" t="str">
        <f t="shared" si="5"/>
        <v>ColombiaManufacture of basic metals (C24)</v>
      </c>
      <c r="O65" s="11">
        <f>INDEX('Base de dados IHS'!$A$1:$V$676,MATCH($N65,'Base de dados IHS'!$C$1:$C$676,0),MATCH($O$1,'Base de dados IHS'!$A$1:$V$1,0))</f>
        <v>295018.32730579999</v>
      </c>
      <c r="P65" s="11">
        <f>INDEX('Base de dados IHS'!$A$1:$V$676,MATCH($N65,'Base de dados IHS'!$C$1:$C$676,0),MATCH($P$1,'Base de dados IHS'!$A$1:$V$1,0))</f>
        <v>332655.81031924998</v>
      </c>
      <c r="Q65" s="131">
        <f>INDEX('Base de dados IHS'!$A$1:$V$676,MATCH($N65,'Base de dados IHS'!$C$1:$C$676,0),MATCH($Q$1,'Base de dados IHS'!$A$1:$V$1,0))</f>
        <v>5.2582269695130978E-3</v>
      </c>
      <c r="R65" s="131">
        <f>INDEX('Base de dados IHS'!$A$1:$V$676,MATCH($N65,'Base de dados IHS'!$C$1:$C$676,0),MATCH($R$1,'Base de dados IHS'!$A$1:$V$1,0))</f>
        <v>4.1118132869445555E-3</v>
      </c>
      <c r="S65" s="131">
        <f>INDEX('Base de dados IHS'!$A$1:$V$676,MATCH($N65,'Base de dados IHS'!$C$1:$C$676,0),MATCH($S$1,'Base de dados IHS'!$A$1:$V$1,0))</f>
        <v>-1.1464136825685423E-3</v>
      </c>
      <c r="T65" t="str">
        <f>IF(Q65&lt;'Cenario A ranking setor PIB'!$G$44,"N","Y")</f>
        <v>N</v>
      </c>
    </row>
    <row r="66" spans="1:20" x14ac:dyDescent="0.45">
      <c r="A66" s="293" t="s">
        <v>73</v>
      </c>
      <c r="B66" s="297" t="s">
        <v>3</v>
      </c>
      <c r="C66" s="297" t="s">
        <v>958</v>
      </c>
      <c r="D66" s="311">
        <v>9468.7753402300004</v>
      </c>
      <c r="E66" s="311">
        <v>10405.334383490001</v>
      </c>
      <c r="F66" s="302">
        <f t="shared" ref="F66:F76" si="6">H66/D66-1</f>
        <v>9.8910261317621595E-2</v>
      </c>
      <c r="G66" s="311">
        <v>9124.0919433899999</v>
      </c>
      <c r="H66" s="311">
        <v>10405.334383490001</v>
      </c>
      <c r="I66" s="302">
        <f t="shared" ref="I66:I97" si="7">H66/G66-1</f>
        <v>0.1404241044532879</v>
      </c>
      <c r="J66" s="311">
        <v>8969.0272265700005</v>
      </c>
      <c r="K66" s="311">
        <v>9166.0501779400001</v>
      </c>
      <c r="L66" s="311">
        <v>9288.4641118500003</v>
      </c>
      <c r="M66" s="312">
        <v>9678.9633516800004</v>
      </c>
      <c r="N66" t="str">
        <f t="shared" ref="N66:N76" si="8">A66&amp;B66</f>
        <v>TaiwanManufacture of basic metals (C24)</v>
      </c>
      <c r="O66" s="11">
        <f>INDEX('Base de dados IHS'!$A$1:$V$676,MATCH($N66,'Base de dados IHS'!$C$1:$C$676,0),MATCH($O$1,'Base de dados IHS'!$A$1:$V$1,0))</f>
        <v>546880.06131035998</v>
      </c>
      <c r="P66" s="11">
        <f>INDEX('Base de dados IHS'!$A$1:$V$676,MATCH($N66,'Base de dados IHS'!$C$1:$C$676,0),MATCH($P$1,'Base de dados IHS'!$A$1:$V$1,0))</f>
        <v>674049.24440882006</v>
      </c>
      <c r="Q66" s="131">
        <f>INDEX('Base de dados IHS'!$A$1:$V$676,MATCH($N66,'Base de dados IHS'!$C$1:$C$676,0),MATCH($Q$1,'Base de dados IHS'!$A$1:$V$1,0))</f>
        <v>1.6683899430394455E-2</v>
      </c>
      <c r="R66" s="131">
        <f>INDEX('Base de dados IHS'!$A$1:$V$676,MATCH($N66,'Base de dados IHS'!$C$1:$C$676,0),MATCH($R$1,'Base de dados IHS'!$A$1:$V$1,0))</f>
        <v>1.5437053701641751E-2</v>
      </c>
      <c r="S66" s="131">
        <f>INDEX('Base de dados IHS'!$A$1:$V$676,MATCH($N66,'Base de dados IHS'!$C$1:$C$676,0),MATCH($S$1,'Base de dados IHS'!$A$1:$V$1,0))</f>
        <v>-1.2468457287527039E-3</v>
      </c>
      <c r="T66" t="str">
        <f>IF(Q66&lt;'Cenario A ranking setor PIB'!$G$44,"N","Y")</f>
        <v>Y</v>
      </c>
    </row>
    <row r="67" spans="1:20" hidden="1" x14ac:dyDescent="0.45">
      <c r="A67" s="293" t="s">
        <v>118</v>
      </c>
      <c r="B67" s="297" t="s">
        <v>3</v>
      </c>
      <c r="C67" s="297" t="s">
        <v>958</v>
      </c>
      <c r="D67" s="311">
        <v>3115.1387030400001</v>
      </c>
      <c r="E67" s="311">
        <v>3300.8474517099999</v>
      </c>
      <c r="F67" s="302">
        <f t="shared" si="6"/>
        <v>5.9614921315949809E-2</v>
      </c>
      <c r="G67" s="311">
        <v>3756.8373281600002</v>
      </c>
      <c r="H67" s="311">
        <v>3300.8474517099999</v>
      </c>
      <c r="I67" s="302">
        <f t="shared" si="7"/>
        <v>-0.1213759970473175</v>
      </c>
      <c r="J67" s="311">
        <v>3044.1800072000001</v>
      </c>
      <c r="K67" s="311">
        <v>3163.1876889599998</v>
      </c>
      <c r="L67" s="311">
        <v>3263.3076840899998</v>
      </c>
      <c r="M67" s="312">
        <v>3539.0526024199999</v>
      </c>
      <c r="N67" t="str">
        <f t="shared" si="8"/>
        <v>BelgiumManufacture of basic metals (C24)</v>
      </c>
      <c r="O67" s="11">
        <f>INDEX('Base de dados IHS'!$A$1:$V$676,MATCH($N67,'Base de dados IHS'!$C$1:$C$676,0),MATCH($O$1,'Base de dados IHS'!$A$1:$V$1,0))</f>
        <v>500331.50984029</v>
      </c>
      <c r="P67" s="11">
        <f>INDEX('Base de dados IHS'!$A$1:$V$676,MATCH($N67,'Base de dados IHS'!$C$1:$C$676,0),MATCH($P$1,'Base de dados IHS'!$A$1:$V$1,0))</f>
        <v>542439.84157398995</v>
      </c>
      <c r="Q67" s="131">
        <f>INDEX('Base de dados IHS'!$A$1:$V$676,MATCH($N67,'Base de dados IHS'!$C$1:$C$676,0),MATCH($Q$1,'Base de dados IHS'!$A$1:$V$1,0))</f>
        <v>7.508696242935437E-3</v>
      </c>
      <c r="R67" s="131">
        <f>INDEX('Base de dados IHS'!$A$1:$V$676,MATCH($N67,'Base de dados IHS'!$C$1:$C$676,0),MATCH($R$1,'Base de dados IHS'!$A$1:$V$1,0))</f>
        <v>6.0851862247654556E-3</v>
      </c>
      <c r="S67" s="131">
        <f>INDEX('Base de dados IHS'!$A$1:$V$676,MATCH($N67,'Base de dados IHS'!$C$1:$C$676,0),MATCH($S$1,'Base de dados IHS'!$A$1:$V$1,0))</f>
        <v>-1.4235100181699814E-3</v>
      </c>
      <c r="T67" t="str">
        <f>IF(Q67&lt;'Cenario A ranking setor PIB'!$G$44,"N","Y")</f>
        <v>N</v>
      </c>
    </row>
    <row r="68" spans="1:20" x14ac:dyDescent="0.45">
      <c r="A68" s="293" t="s">
        <v>158</v>
      </c>
      <c r="B68" s="297" t="s">
        <v>3</v>
      </c>
      <c r="C68" s="297" t="s">
        <v>958</v>
      </c>
      <c r="D68" s="311">
        <v>558.17421301000002</v>
      </c>
      <c r="E68" s="311">
        <v>847.49723302999996</v>
      </c>
      <c r="F68" s="302">
        <f t="shared" si="6"/>
        <v>0.51833820566486222</v>
      </c>
      <c r="G68" s="311">
        <v>727.00671672999999</v>
      </c>
      <c r="H68" s="311">
        <v>847.49723302999996</v>
      </c>
      <c r="I68" s="302">
        <f t="shared" si="7"/>
        <v>0.16573507992051795</v>
      </c>
      <c r="J68" s="311">
        <v>929.37287198000001</v>
      </c>
      <c r="K68" s="311">
        <v>1033.5981878499999</v>
      </c>
      <c r="L68" s="311">
        <v>1118.8223651999999</v>
      </c>
      <c r="M68" s="312">
        <v>1350.65830749</v>
      </c>
      <c r="N68" t="str">
        <f t="shared" si="8"/>
        <v>GhanaManufacture of basic metals (C24)</v>
      </c>
      <c r="O68" s="11">
        <f>INDEX('Base de dados IHS'!$A$1:$V$676,MATCH($N68,'Base de dados IHS'!$C$1:$C$676,0),MATCH($O$1,'Base de dados IHS'!$A$1:$V$1,0))</f>
        <v>54050.698328470004</v>
      </c>
      <c r="P68" s="11">
        <f>INDEX('Base de dados IHS'!$A$1:$V$676,MATCH($N68,'Base de dados IHS'!$C$1:$C$676,0),MATCH($P$1,'Base de dados IHS'!$A$1:$V$1,0))</f>
        <v>72367.878986030002</v>
      </c>
      <c r="Q68" s="131">
        <f>INDEX('Base de dados IHS'!$A$1:$V$676,MATCH($N68,'Base de dados IHS'!$C$1:$C$676,0),MATCH($Q$1,'Base de dados IHS'!$A$1:$V$1,0))</f>
        <v>1.3450459276435756E-2</v>
      </c>
      <c r="R68" s="131">
        <f>INDEX('Base de dados IHS'!$A$1:$V$676,MATCH($N68,'Base de dados IHS'!$C$1:$C$676,0),MATCH($R$1,'Base de dados IHS'!$A$1:$V$1,0))</f>
        <v>1.1710958575884226E-2</v>
      </c>
      <c r="S68" s="131">
        <f>INDEX('Base de dados IHS'!$A$1:$V$676,MATCH($N68,'Base de dados IHS'!$C$1:$C$676,0),MATCH($S$1,'Base de dados IHS'!$A$1:$V$1,0))</f>
        <v>-1.7395007005515297E-3</v>
      </c>
      <c r="T68" t="str">
        <f>IF(Q68&lt;'Cenario A ranking setor PIB'!$G$44,"N","Y")</f>
        <v>Y</v>
      </c>
    </row>
    <row r="69" spans="1:20" x14ac:dyDescent="0.45">
      <c r="A69" s="293" t="s">
        <v>907</v>
      </c>
      <c r="B69" s="297" t="s">
        <v>3</v>
      </c>
      <c r="C69" s="297" t="s">
        <v>958</v>
      </c>
      <c r="D69" s="311">
        <v>156029.56141401999</v>
      </c>
      <c r="E69" s="311">
        <v>294256.24499059003</v>
      </c>
      <c r="F69" s="302">
        <f t="shared" si="6"/>
        <v>0.88590060962736072</v>
      </c>
      <c r="G69" s="311">
        <v>225208.54858435001</v>
      </c>
      <c r="H69" s="311">
        <v>294256.24499059003</v>
      </c>
      <c r="I69" s="302">
        <f t="shared" si="7"/>
        <v>0.30659447361243819</v>
      </c>
      <c r="J69" s="311">
        <v>390604.97261761001</v>
      </c>
      <c r="K69" s="311">
        <v>502337.08868773002</v>
      </c>
      <c r="L69" s="311">
        <v>587181.44280905998</v>
      </c>
      <c r="M69" s="312">
        <v>795536.12714231003</v>
      </c>
      <c r="N69" t="str">
        <f t="shared" si="8"/>
        <v>ChinaManufacture of basic metals (C24)</v>
      </c>
      <c r="O69" s="11">
        <f>INDEX('Base de dados IHS'!$A$1:$V$676,MATCH($N69,'Base de dados IHS'!$C$1:$C$676,0),MATCH($O$1,'Base de dados IHS'!$A$1:$V$1,0))</f>
        <v>11048064.947659001</v>
      </c>
      <c r="P69" s="11">
        <f>INDEX('Base de dados IHS'!$A$1:$V$676,MATCH($N69,'Base de dados IHS'!$C$1:$C$676,0),MATCH($P$1,'Base de dados IHS'!$A$1:$V$1,0))</f>
        <v>15827750.501527</v>
      </c>
      <c r="Q69" s="131">
        <f>INDEX('Base de dados IHS'!$A$1:$V$676,MATCH($N69,'Base de dados IHS'!$C$1:$C$676,0),MATCH($Q$1,'Base de dados IHS'!$A$1:$V$1,0))</f>
        <v>2.0384433803683419E-2</v>
      </c>
      <c r="R69" s="131">
        <f>INDEX('Base de dados IHS'!$A$1:$V$676,MATCH($N69,'Base de dados IHS'!$C$1:$C$676,0),MATCH($R$1,'Base de dados IHS'!$A$1:$V$1,0))</f>
        <v>1.8591160188063446E-2</v>
      </c>
      <c r="S69" s="131">
        <f>INDEX('Base de dados IHS'!$A$1:$V$676,MATCH($N69,'Base de dados IHS'!$C$1:$C$676,0),MATCH($S$1,'Base de dados IHS'!$A$1:$V$1,0))</f>
        <v>-1.7932736156199731E-3</v>
      </c>
      <c r="T69" t="str">
        <f>IF(Q69&lt;'Cenario A ranking setor PIB'!$G$44,"N","Y")</f>
        <v>Y</v>
      </c>
    </row>
    <row r="70" spans="1:20" hidden="1" x14ac:dyDescent="0.45">
      <c r="A70" s="293" t="s">
        <v>111</v>
      </c>
      <c r="B70" s="297" t="s">
        <v>3</v>
      </c>
      <c r="C70" s="297" t="s">
        <v>958</v>
      </c>
      <c r="D70" s="311">
        <v>1772.95104264</v>
      </c>
      <c r="E70" s="311">
        <v>1547.49532737</v>
      </c>
      <c r="F70" s="302">
        <f t="shared" si="6"/>
        <v>-0.12716409525571937</v>
      </c>
      <c r="G70" s="311">
        <v>1825.15219998</v>
      </c>
      <c r="H70" s="311">
        <v>1547.49532737</v>
      </c>
      <c r="I70" s="302">
        <f t="shared" si="7"/>
        <v>-0.15212806505289944</v>
      </c>
      <c r="J70" s="311">
        <v>1383.0061513600001</v>
      </c>
      <c r="K70" s="311">
        <v>1327.5079945299999</v>
      </c>
      <c r="L70" s="311">
        <v>1283.45456517</v>
      </c>
      <c r="M70" s="312">
        <v>1160.8516023899999</v>
      </c>
      <c r="N70" t="str">
        <f t="shared" si="8"/>
        <v>Czech RepublicManufacture of basic metals (C24)</v>
      </c>
      <c r="O70" s="11">
        <f>INDEX('Base de dados IHS'!$A$1:$V$676,MATCH($N70,'Base de dados IHS'!$C$1:$C$676,0),MATCH($O$1,'Base de dados IHS'!$A$1:$V$1,0))</f>
        <v>220291.04889604999</v>
      </c>
      <c r="P70" s="11">
        <f>INDEX('Base de dados IHS'!$A$1:$V$676,MATCH($N70,'Base de dados IHS'!$C$1:$C$676,0),MATCH($P$1,'Base de dados IHS'!$A$1:$V$1,0))</f>
        <v>247058.51905223</v>
      </c>
      <c r="Q70" s="131">
        <f>INDEX('Base de dados IHS'!$A$1:$V$676,MATCH($N70,'Base de dados IHS'!$C$1:$C$676,0),MATCH($Q$1,'Base de dados IHS'!$A$1:$V$1,0))</f>
        <v>8.285185481327683E-3</v>
      </c>
      <c r="R70" s="131">
        <f>INDEX('Base de dados IHS'!$A$1:$V$676,MATCH($N70,'Base de dados IHS'!$C$1:$C$676,0),MATCH($R$1,'Base de dados IHS'!$A$1:$V$1,0))</f>
        <v>6.2636792825704916E-3</v>
      </c>
      <c r="S70" s="131">
        <f>INDEX('Base de dados IHS'!$A$1:$V$676,MATCH($N70,'Base de dados IHS'!$C$1:$C$676,0),MATCH($S$1,'Base de dados IHS'!$A$1:$V$1,0))</f>
        <v>-2.0215061987571914E-3</v>
      </c>
      <c r="T70" t="str">
        <f>IF(Q70&lt;'Cenario A ranking setor PIB'!$G$44,"N","Y")</f>
        <v>N</v>
      </c>
    </row>
    <row r="71" spans="1:20" x14ac:dyDescent="0.45">
      <c r="A71" s="293" t="s">
        <v>160</v>
      </c>
      <c r="B71" s="297" t="s">
        <v>3</v>
      </c>
      <c r="C71" s="297" t="s">
        <v>958</v>
      </c>
      <c r="D71" s="311">
        <v>362.60836861000001</v>
      </c>
      <c r="E71" s="311">
        <v>588.13410255999997</v>
      </c>
      <c r="F71" s="302">
        <f t="shared" si="6"/>
        <v>0.621954023881236</v>
      </c>
      <c r="G71" s="311">
        <v>631.21133111999995</v>
      </c>
      <c r="H71" s="311">
        <v>588.13410255999997</v>
      </c>
      <c r="I71" s="302">
        <f t="shared" si="7"/>
        <v>-6.8245334702032645E-2</v>
      </c>
      <c r="J71" s="311">
        <v>582.66209375000005</v>
      </c>
      <c r="K71" s="311">
        <v>698.63546439000004</v>
      </c>
      <c r="L71" s="311">
        <v>780.93286969999997</v>
      </c>
      <c r="M71" s="312">
        <v>992.25029428000005</v>
      </c>
      <c r="N71" t="str">
        <f t="shared" si="8"/>
        <v>BulgariaManufacture of basic metals (C24)</v>
      </c>
      <c r="O71" s="11">
        <f>INDEX('Base de dados IHS'!$A$1:$V$676,MATCH($N71,'Base de dados IHS'!$C$1:$C$676,0),MATCH($O$1,'Base de dados IHS'!$A$1:$V$1,0))</f>
        <v>60854.013563</v>
      </c>
      <c r="P71" s="11">
        <f>INDEX('Base de dados IHS'!$A$1:$V$676,MATCH($N71,'Base de dados IHS'!$C$1:$C$676,0),MATCH($P$1,'Base de dados IHS'!$A$1:$V$1,0))</f>
        <v>70836.911882080007</v>
      </c>
      <c r="Q71" s="131">
        <f>INDEX('Base de dados IHS'!$A$1:$V$676,MATCH($N71,'Base de dados IHS'!$C$1:$C$676,0),MATCH($Q$1,'Base de dados IHS'!$A$1:$V$1,0))</f>
        <v>1.0372550537961302E-2</v>
      </c>
      <c r="R71" s="131">
        <f>INDEX('Base de dados IHS'!$A$1:$V$676,MATCH($N71,'Base de dados IHS'!$C$1:$C$676,0),MATCH($R$1,'Base de dados IHS'!$A$1:$V$1,0))</f>
        <v>8.302650227596714E-3</v>
      </c>
      <c r="S71" s="131">
        <f>INDEX('Base de dados IHS'!$A$1:$V$676,MATCH($N71,'Base de dados IHS'!$C$1:$C$676,0),MATCH($S$1,'Base de dados IHS'!$A$1:$V$1,0))</f>
        <v>-2.0699003103645877E-3</v>
      </c>
      <c r="T71" t="str">
        <f>IF(Q71&lt;'Cenario A ranking setor PIB'!$G$44,"N","Y")</f>
        <v>Y</v>
      </c>
    </row>
    <row r="72" spans="1:20" x14ac:dyDescent="0.45">
      <c r="A72" s="293" t="s">
        <v>104</v>
      </c>
      <c r="B72" s="297" t="s">
        <v>3</v>
      </c>
      <c r="C72" s="297" t="s">
        <v>958</v>
      </c>
      <c r="D72" s="311">
        <v>21814.555008359999</v>
      </c>
      <c r="E72" s="311">
        <v>22094.340632029998</v>
      </c>
      <c r="F72" s="302">
        <f t="shared" si="6"/>
        <v>1.2825639742033657E-2</v>
      </c>
      <c r="G72" s="311">
        <v>23208.052802530001</v>
      </c>
      <c r="H72" s="311">
        <v>22094.340632029998</v>
      </c>
      <c r="I72" s="302">
        <f t="shared" si="7"/>
        <v>-4.7988178068027909E-2</v>
      </c>
      <c r="J72" s="311">
        <v>20063.921541349999</v>
      </c>
      <c r="K72" s="311">
        <v>20303.683547649998</v>
      </c>
      <c r="L72" s="311">
        <v>20512.346165949999</v>
      </c>
      <c r="M72" s="312">
        <v>21180.026817860002</v>
      </c>
      <c r="N72" t="str">
        <f t="shared" si="8"/>
        <v>South KoreaManufacture of basic metals (C24)</v>
      </c>
      <c r="O72" s="11">
        <f>INDEX('Base de dados IHS'!$A$1:$V$676,MATCH($N72,'Base de dados IHS'!$C$1:$C$676,0),MATCH($O$1,'Base de dados IHS'!$A$1:$V$1,0))</f>
        <v>1478297.0807395</v>
      </c>
      <c r="P72" s="11">
        <f>INDEX('Base de dados IHS'!$A$1:$V$676,MATCH($N72,'Base de dados IHS'!$C$1:$C$676,0),MATCH($P$1,'Base de dados IHS'!$A$1:$V$1,0))</f>
        <v>1710728.7967964001</v>
      </c>
      <c r="Q72" s="131">
        <f>INDEX('Base de dados IHS'!$A$1:$V$676,MATCH($N72,'Base de dados IHS'!$C$1:$C$676,0),MATCH($Q$1,'Base de dados IHS'!$A$1:$V$1,0))</f>
        <v>1.569918056722432E-2</v>
      </c>
      <c r="R72" s="131">
        <f>INDEX('Base de dados IHS'!$A$1:$V$676,MATCH($N72,'Base de dados IHS'!$C$1:$C$676,0),MATCH($R$1,'Base de dados IHS'!$A$1:$V$1,0))</f>
        <v>1.2915162633261925E-2</v>
      </c>
      <c r="S72" s="131">
        <f>INDEX('Base de dados IHS'!$A$1:$V$676,MATCH($N72,'Base de dados IHS'!$C$1:$C$676,0),MATCH($S$1,'Base de dados IHS'!$A$1:$V$1,0))</f>
        <v>-2.784017933962395E-3</v>
      </c>
      <c r="T72" t="str">
        <f>IF(Q72&lt;'Cenario A ranking setor PIB'!$G$44,"N","Y")</f>
        <v>Y</v>
      </c>
    </row>
    <row r="73" spans="1:20" hidden="1" x14ac:dyDescent="0.45">
      <c r="A73" s="293" t="s">
        <v>77</v>
      </c>
      <c r="B73" s="297" t="s">
        <v>3</v>
      </c>
      <c r="C73" s="297" t="s">
        <v>958</v>
      </c>
      <c r="D73" s="311">
        <v>5480.76523103</v>
      </c>
      <c r="E73" s="311">
        <v>7045.5422583199997</v>
      </c>
      <c r="F73" s="302">
        <f t="shared" si="6"/>
        <v>0.28550338526285146</v>
      </c>
      <c r="G73" s="311">
        <v>10496.398807629999</v>
      </c>
      <c r="H73" s="311">
        <v>7045.5422583199997</v>
      </c>
      <c r="I73" s="302">
        <f t="shared" si="7"/>
        <v>-0.32876576172024985</v>
      </c>
      <c r="J73" s="311">
        <v>5883.5203817499996</v>
      </c>
      <c r="K73" s="311">
        <v>5957.4748777599998</v>
      </c>
      <c r="L73" s="311">
        <v>5971.6484519400001</v>
      </c>
      <c r="M73" s="312">
        <v>6053.7537380200001</v>
      </c>
      <c r="N73" t="str">
        <f t="shared" si="8"/>
        <v>SpainManufacture of basic metals (C24)</v>
      </c>
      <c r="O73" s="11">
        <f>INDEX('Base de dados IHS'!$A$1:$V$676,MATCH($N73,'Base de dados IHS'!$C$1:$C$676,0),MATCH($O$1,'Base de dados IHS'!$A$1:$V$1,0))</f>
        <v>1259732.1048611</v>
      </c>
      <c r="P73" s="11">
        <f>INDEX('Base de dados IHS'!$A$1:$V$676,MATCH($N73,'Base de dados IHS'!$C$1:$C$676,0),MATCH($P$1,'Base de dados IHS'!$A$1:$V$1,0))</f>
        <v>1317888.2673469</v>
      </c>
      <c r="Q73" s="131">
        <f>INDEX('Base de dados IHS'!$A$1:$V$676,MATCH($N73,'Base de dados IHS'!$C$1:$C$676,0),MATCH($Q$1,'Base de dados IHS'!$A$1:$V$1,0))</f>
        <v>8.3322468063853541E-3</v>
      </c>
      <c r="R73" s="131">
        <f>INDEX('Base de dados IHS'!$A$1:$V$676,MATCH($N73,'Base de dados IHS'!$C$1:$C$676,0),MATCH($R$1,'Base de dados IHS'!$A$1:$V$1,0))</f>
        <v>5.3460846665732116E-3</v>
      </c>
      <c r="S73" s="131">
        <f>INDEX('Base de dados IHS'!$A$1:$V$676,MATCH($N73,'Base de dados IHS'!$C$1:$C$676,0),MATCH($S$1,'Base de dados IHS'!$A$1:$V$1,0))</f>
        <v>-2.9861621398121424E-3</v>
      </c>
      <c r="T73" t="str">
        <f>IF(Q73&lt;'Cenario A ranking setor PIB'!$G$44,"N","Y")</f>
        <v>N</v>
      </c>
    </row>
    <row r="74" spans="1:20" hidden="1" x14ac:dyDescent="0.45">
      <c r="A74" s="293" t="s">
        <v>146</v>
      </c>
      <c r="B74" s="297" t="s">
        <v>3</v>
      </c>
      <c r="C74" s="297" t="s">
        <v>958</v>
      </c>
      <c r="D74" s="311">
        <v>2732.70841552</v>
      </c>
      <c r="E74" s="311">
        <v>2025.88535875</v>
      </c>
      <c r="F74" s="302">
        <f t="shared" si="6"/>
        <v>-0.25865293668205014</v>
      </c>
      <c r="G74" s="311">
        <v>2419.5355961599998</v>
      </c>
      <c r="H74" s="311">
        <v>2025.88535875</v>
      </c>
      <c r="I74" s="302">
        <f t="shared" si="7"/>
        <v>-0.1626966092314388</v>
      </c>
      <c r="J74" s="311">
        <v>2506.9265997500002</v>
      </c>
      <c r="K74" s="311">
        <v>2881.11284897</v>
      </c>
      <c r="L74" s="311">
        <v>3117.8931449800002</v>
      </c>
      <c r="M74" s="312">
        <v>3767.26604645</v>
      </c>
      <c r="N74" t="str">
        <f t="shared" si="8"/>
        <v>EgyptManufacture of basic metals (C24)</v>
      </c>
      <c r="O74" s="11">
        <f>INDEX('Base de dados IHS'!$A$1:$V$676,MATCH($N74,'Base de dados IHS'!$C$1:$C$676,0),MATCH($O$1,'Base de dados IHS'!$A$1:$V$1,0))</f>
        <v>276522.47435759002</v>
      </c>
      <c r="P74" s="11">
        <f>INDEX('Base de dados IHS'!$A$1:$V$676,MATCH($N74,'Base de dados IHS'!$C$1:$C$676,0),MATCH($P$1,'Base de dados IHS'!$A$1:$V$1,0))</f>
        <v>357883.01385108999</v>
      </c>
      <c r="Q74" s="131">
        <f>INDEX('Base de dados IHS'!$A$1:$V$676,MATCH($N74,'Base de dados IHS'!$C$1:$C$676,0),MATCH($Q$1,'Base de dados IHS'!$A$1:$V$1,0))</f>
        <v>8.7498696146886563E-3</v>
      </c>
      <c r="R74" s="131">
        <f>INDEX('Base de dados IHS'!$A$1:$V$676,MATCH($N74,'Base de dados IHS'!$C$1:$C$676,0),MATCH($R$1,'Base de dados IHS'!$A$1:$V$1,0))</f>
        <v>5.6607474519395377E-3</v>
      </c>
      <c r="S74" s="131">
        <f>INDEX('Base de dados IHS'!$A$1:$V$676,MATCH($N74,'Base de dados IHS'!$C$1:$C$676,0),MATCH($S$1,'Base de dados IHS'!$A$1:$V$1,0))</f>
        <v>-3.0891221627491186E-3</v>
      </c>
      <c r="T74" t="str">
        <f>IF(Q74&lt;'Cenario A ranking setor PIB'!$G$44,"N","Y")</f>
        <v>N</v>
      </c>
    </row>
    <row r="75" spans="1:20" x14ac:dyDescent="0.45">
      <c r="A75" s="293" t="s">
        <v>143</v>
      </c>
      <c r="B75" s="297" t="s">
        <v>3</v>
      </c>
      <c r="C75" s="297" t="s">
        <v>958</v>
      </c>
      <c r="D75" s="311">
        <v>3886.1385116299998</v>
      </c>
      <c r="E75" s="311">
        <v>3379.2288185100001</v>
      </c>
      <c r="F75" s="302">
        <f t="shared" si="6"/>
        <v>-0.13044045949545469</v>
      </c>
      <c r="G75" s="311">
        <v>4405.3010960000001</v>
      </c>
      <c r="H75" s="311">
        <v>3379.2288185100001</v>
      </c>
      <c r="I75" s="302">
        <f t="shared" si="7"/>
        <v>-0.23291762699754404</v>
      </c>
      <c r="J75" s="311">
        <v>3996.9316197200001</v>
      </c>
      <c r="K75" s="311">
        <v>4475.0000840000002</v>
      </c>
      <c r="L75" s="311">
        <v>4865.0054748399998</v>
      </c>
      <c r="M75" s="312">
        <v>5842.13051817</v>
      </c>
      <c r="N75" t="str">
        <f t="shared" si="8"/>
        <v>United Arab EmiratesManufacture of basic metals (C24)</v>
      </c>
      <c r="O75" s="11">
        <f>INDEX('Base de dados IHS'!$A$1:$V$676,MATCH($N75,'Base de dados IHS'!$C$1:$C$676,0),MATCH($O$1,'Base de dados IHS'!$A$1:$V$1,0))</f>
        <v>383753.13090967003</v>
      </c>
      <c r="P75" s="11">
        <f>INDEX('Base de dados IHS'!$A$1:$V$676,MATCH($N75,'Base de dados IHS'!$C$1:$C$676,0),MATCH($P$1,'Base de dados IHS'!$A$1:$V$1,0))</f>
        <v>414599.77007557999</v>
      </c>
      <c r="Q75" s="131">
        <f>INDEX('Base de dados IHS'!$A$1:$V$676,MATCH($N75,'Base de dados IHS'!$C$1:$C$676,0),MATCH($Q$1,'Base de dados IHS'!$A$1:$V$1,0))</f>
        <v>1.1479518318345511E-2</v>
      </c>
      <c r="R75" s="131">
        <f>INDEX('Base de dados IHS'!$A$1:$V$676,MATCH($N75,'Base de dados IHS'!$C$1:$C$676,0),MATCH($R$1,'Base de dados IHS'!$A$1:$V$1,0))</f>
        <v>8.150580541552108E-3</v>
      </c>
      <c r="S75" s="131">
        <f>INDEX('Base de dados IHS'!$A$1:$V$676,MATCH($N75,'Base de dados IHS'!$C$1:$C$676,0),MATCH($S$1,'Base de dados IHS'!$A$1:$V$1,0))</f>
        <v>-3.3289377767934027E-3</v>
      </c>
      <c r="T75" t="str">
        <f>IF(Q75&lt;'Cenario A ranking setor PIB'!$G$44,"N","Y")</f>
        <v>Y</v>
      </c>
    </row>
    <row r="76" spans="1:20" x14ac:dyDescent="0.45">
      <c r="A76" s="293" t="s">
        <v>148</v>
      </c>
      <c r="B76" s="297" t="s">
        <v>3</v>
      </c>
      <c r="C76" s="297" t="s">
        <v>958</v>
      </c>
      <c r="D76" s="311">
        <v>1797.6869492400001</v>
      </c>
      <c r="E76" s="311">
        <v>1871.1500223999999</v>
      </c>
      <c r="F76" s="302">
        <f t="shared" si="6"/>
        <v>4.0865331525634874E-2</v>
      </c>
      <c r="G76" s="311">
        <v>1868.8876518100001</v>
      </c>
      <c r="H76" s="311">
        <v>1871.1500223999999</v>
      </c>
      <c r="I76" s="302">
        <f t="shared" si="7"/>
        <v>1.2105439231773207E-3</v>
      </c>
      <c r="J76" s="311">
        <v>1981.6616675299999</v>
      </c>
      <c r="K76" s="311">
        <v>2083.21483704</v>
      </c>
      <c r="L76" s="311">
        <v>2167.6423025499998</v>
      </c>
      <c r="M76" s="312">
        <v>2329.1042759500001</v>
      </c>
      <c r="N76" t="str">
        <f t="shared" si="8"/>
        <v>BahrainManufacture of basic metals (C24)</v>
      </c>
      <c r="O76" s="11">
        <f>INDEX('Base de dados IHS'!$A$1:$V$676,MATCH($N76,'Base de dados IHS'!$C$1:$C$676,0),MATCH($O$1,'Base de dados IHS'!$A$1:$V$1,0))</f>
        <v>33332.328188890002</v>
      </c>
      <c r="P76" s="11">
        <f>INDEX('Base de dados IHS'!$A$1:$V$676,MATCH($N76,'Base de dados IHS'!$C$1:$C$676,0),MATCH($P$1,'Base de dados IHS'!$A$1:$V$1,0))</f>
        <v>36767.801730239997</v>
      </c>
      <c r="Q76" s="131">
        <f>INDEX('Base de dados IHS'!$A$1:$V$676,MATCH($N76,'Base de dados IHS'!$C$1:$C$676,0),MATCH($Q$1,'Base de dados IHS'!$A$1:$V$1,0))</f>
        <v>5.6068320257116604E-2</v>
      </c>
      <c r="R76" s="131">
        <f>INDEX('Base de dados IHS'!$A$1:$V$676,MATCH($N76,'Base de dados IHS'!$C$1:$C$676,0),MATCH($R$1,'Base de dados IHS'!$A$1:$V$1,0))</f>
        <v>5.0890995228062723E-2</v>
      </c>
      <c r="S76" s="131">
        <f>INDEX('Base de dados IHS'!$A$1:$V$676,MATCH($N76,'Base de dados IHS'!$C$1:$C$676,0),MATCH($S$1,'Base de dados IHS'!$A$1:$V$1,0))</f>
        <v>-5.1773250290538808E-3</v>
      </c>
      <c r="T76" t="str">
        <f>IF(Q76&lt;'Cenario A ranking setor PIB'!$G$44,"N","Y")</f>
        <v>Y</v>
      </c>
    </row>
  </sheetData>
  <autoFilter ref="A1:T76" xr:uid="{08053A5C-1753-46A5-A8DE-B4FDB117FFF3}">
    <filterColumn colId="19">
      <filters>
        <filter val="Y"/>
      </filters>
    </filterColumn>
    <sortState xmlns:xlrd2="http://schemas.microsoft.com/office/spreadsheetml/2017/richdata2" ref="A2:T76">
      <sortCondition descending="1" ref="S1:S76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1E70-919D-4A29-8A63-9DAA48EB88FD}">
  <sheetPr filterMode="1">
    <tabColor theme="4" tint="-0.249977111117893"/>
  </sheetPr>
  <dimension ref="A1:T76"/>
  <sheetViews>
    <sheetView workbookViewId="0"/>
  </sheetViews>
  <sheetFormatPr defaultColWidth="8.86328125" defaultRowHeight="14.25" x14ac:dyDescent="0.45"/>
  <sheetData>
    <row r="1" spans="1:20" x14ac:dyDescent="0.4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933</v>
      </c>
      <c r="O1" s="334" t="s">
        <v>928</v>
      </c>
      <c r="P1" s="334" t="s">
        <v>929</v>
      </c>
      <c r="Q1" s="334" t="s">
        <v>930</v>
      </c>
      <c r="R1" s="334" t="s">
        <v>931</v>
      </c>
      <c r="S1" s="334" t="s">
        <v>932</v>
      </c>
      <c r="T1" s="334" t="s">
        <v>1057</v>
      </c>
    </row>
    <row r="2" spans="1:20" x14ac:dyDescent="0.45">
      <c r="A2" s="293" t="s">
        <v>157</v>
      </c>
      <c r="B2" s="297" t="s">
        <v>7</v>
      </c>
      <c r="C2" s="297" t="s">
        <v>958</v>
      </c>
      <c r="D2" s="311">
        <v>1842.21470312</v>
      </c>
      <c r="E2" s="311">
        <v>4571.7313054400001</v>
      </c>
      <c r="F2" s="302">
        <f t="shared" ref="F2:F33" si="0">H2/D2-1</f>
        <v>1.4816495589234271</v>
      </c>
      <c r="G2" s="311">
        <v>3289.4313111000001</v>
      </c>
      <c r="H2" s="311">
        <v>4571.7313054400001</v>
      </c>
      <c r="I2" s="302">
        <f t="shared" ref="I2:I33" si="1">H2/G2-1</f>
        <v>0.38982421977104398</v>
      </c>
      <c r="J2" s="311">
        <v>5133.88973059</v>
      </c>
      <c r="K2" s="311">
        <v>5893.37739298</v>
      </c>
      <c r="L2" s="311">
        <v>6333.7799496500002</v>
      </c>
      <c r="M2" s="312">
        <v>7963.5645852400003</v>
      </c>
      <c r="N2" t="str">
        <f t="shared" ref="N2:N33" si="2">A2&amp;B2</f>
        <v>SlovakiaManufacture of motor vehicles, trailers and semi-trailers (C29)</v>
      </c>
      <c r="O2" s="11">
        <f>INDEX('Base de dados IHS'!$A$1:$V$676,MATCH($N2,'Base de dados IHS'!$C$1:$C$676,0),MATCH($O$1,'Base de dados IHS'!$A$1:$V$1,0))</f>
        <v>94460.171576160006</v>
      </c>
      <c r="P2" s="11">
        <f>INDEX('Base de dados IHS'!$A$1:$V$676,MATCH($N2,'Base de dados IHS'!$C$1:$C$676,0),MATCH($P$1,'Base de dados IHS'!$A$1:$V$1,0))</f>
        <v>107076.6714533</v>
      </c>
      <c r="Q2" s="131">
        <f>INDEX('Base de dados IHS'!$A$1:$V$676,MATCH($N2,'Base de dados IHS'!$C$1:$C$676,0),MATCH($Q$1,'Base de dados IHS'!$A$1:$V$1,0))</f>
        <v>3.4823473811370798E-2</v>
      </c>
      <c r="R2" s="131">
        <f>INDEX('Base de dados IHS'!$A$1:$V$676,MATCH($N2,'Base de dados IHS'!$C$1:$C$676,0),MATCH($R$1,'Base de dados IHS'!$A$1:$V$1,0))</f>
        <v>4.2695866834391624E-2</v>
      </c>
      <c r="S2" s="131">
        <f>INDEX('Base de dados IHS'!$A$1:$V$676,MATCH($N2,'Base de dados IHS'!$C$1:$C$676,0),MATCH($S$1,'Base de dados IHS'!$A$1:$V$1,0))</f>
        <v>7.8723930230208267E-3</v>
      </c>
      <c r="T2" t="str">
        <f>IF(Q2&lt;'Cenario A ranking setor PIB'!$G$58,"N","Y")</f>
        <v>Y</v>
      </c>
    </row>
    <row r="3" spans="1:20" x14ac:dyDescent="0.45">
      <c r="A3" s="293" t="s">
        <v>111</v>
      </c>
      <c r="B3" s="297" t="s">
        <v>7</v>
      </c>
      <c r="C3" s="297" t="s">
        <v>958</v>
      </c>
      <c r="D3" s="311">
        <v>7250.0052561499997</v>
      </c>
      <c r="E3" s="311">
        <v>11182.56673629</v>
      </c>
      <c r="F3" s="302">
        <f t="shared" si="0"/>
        <v>0.5424218798743774</v>
      </c>
      <c r="G3" s="311">
        <v>8310.4235659499991</v>
      </c>
      <c r="H3" s="311">
        <v>11182.56673629</v>
      </c>
      <c r="I3" s="302">
        <f t="shared" si="1"/>
        <v>0.34560731442232751</v>
      </c>
      <c r="J3" s="311">
        <v>11765.674287170001</v>
      </c>
      <c r="K3" s="311">
        <v>11626.077634740001</v>
      </c>
      <c r="L3" s="311">
        <v>11765.4558557</v>
      </c>
      <c r="M3" s="312">
        <v>9970.10230864</v>
      </c>
      <c r="N3" t="str">
        <f t="shared" si="2"/>
        <v>Czech RepublicManufacture of motor vehicles, trailers and semi-trailers (C29)</v>
      </c>
      <c r="O3" s="11">
        <f>INDEX('Base de dados IHS'!$A$1:$V$676,MATCH($N3,'Base de dados IHS'!$C$1:$C$676,0),MATCH($O$1,'Base de dados IHS'!$A$1:$V$1,0))</f>
        <v>220291.04889604999</v>
      </c>
      <c r="P3" s="11">
        <f>INDEX('Base de dados IHS'!$A$1:$V$676,MATCH($N3,'Base de dados IHS'!$C$1:$C$676,0),MATCH($P$1,'Base de dados IHS'!$A$1:$V$1,0))</f>
        <v>247058.51905223</v>
      </c>
      <c r="Q3" s="131">
        <f>INDEX('Base de dados IHS'!$A$1:$V$676,MATCH($N3,'Base de dados IHS'!$C$1:$C$676,0),MATCH($Q$1,'Base de dados IHS'!$A$1:$V$1,0))</f>
        <v>3.7724744639404242E-2</v>
      </c>
      <c r="R3" s="131">
        <f>INDEX('Base de dados IHS'!$A$1:$V$676,MATCH($N3,'Base de dados IHS'!$C$1:$C$676,0),MATCH($R$1,'Base de dados IHS'!$A$1:$V$1,0))</f>
        <v>4.5262825905331046E-2</v>
      </c>
      <c r="S3" s="131">
        <f>INDEX('Base de dados IHS'!$A$1:$V$676,MATCH($N3,'Base de dados IHS'!$C$1:$C$676,0),MATCH($S$1,'Base de dados IHS'!$A$1:$V$1,0))</f>
        <v>7.5380812659268034E-3</v>
      </c>
      <c r="T3" t="str">
        <f>IF(Q3&lt;'Cenario A ranking setor PIB'!$G$58,"N","Y")</f>
        <v>Y</v>
      </c>
    </row>
    <row r="4" spans="1:20" hidden="1" x14ac:dyDescent="0.45">
      <c r="A4" s="293" t="s">
        <v>144</v>
      </c>
      <c r="B4" s="297" t="s">
        <v>7</v>
      </c>
      <c r="C4" s="297" t="s">
        <v>958</v>
      </c>
      <c r="D4" s="311">
        <v>1934.34353706</v>
      </c>
      <c r="E4" s="311">
        <v>4494.2746358699997</v>
      </c>
      <c r="F4" s="302">
        <f t="shared" si="0"/>
        <v>1.3234107849843606</v>
      </c>
      <c r="G4" s="311">
        <v>3151.7034660200002</v>
      </c>
      <c r="H4" s="311">
        <v>4494.2746358699997</v>
      </c>
      <c r="I4" s="302">
        <f t="shared" si="1"/>
        <v>0.42598270564629304</v>
      </c>
      <c r="J4" s="311">
        <v>6556.1843736199999</v>
      </c>
      <c r="K4" s="311">
        <v>7521.0985572</v>
      </c>
      <c r="L4" s="311">
        <v>8296.0996735200006</v>
      </c>
      <c r="M4" s="312">
        <v>9645.1664316000006</v>
      </c>
      <c r="N4" t="str">
        <f t="shared" si="2"/>
        <v>MalaysiaManufacture of motor vehicles, trailers and semi-trailers (C29)</v>
      </c>
      <c r="O4" s="11">
        <f>INDEX('Base de dados IHS'!$A$1:$V$676,MATCH($N4,'Base de dados IHS'!$C$1:$C$676,0),MATCH($O$1,'Base de dados IHS'!$A$1:$V$1,0))</f>
        <v>301830.41438700003</v>
      </c>
      <c r="P4" s="11">
        <f>INDEX('Base de dados IHS'!$A$1:$V$676,MATCH($N4,'Base de dados IHS'!$C$1:$C$676,0),MATCH($P$1,'Base de dados IHS'!$A$1:$V$1,0))</f>
        <v>356559.39228144003</v>
      </c>
      <c r="Q4" s="131">
        <f>INDEX('Base de dados IHS'!$A$1:$V$676,MATCH($N4,'Base de dados IHS'!$C$1:$C$676,0),MATCH($Q$1,'Base de dados IHS'!$A$1:$V$1,0))</f>
        <v>1.0441967793142803E-2</v>
      </c>
      <c r="R4" s="131">
        <f>INDEX('Base de dados IHS'!$A$1:$V$676,MATCH($N4,'Base de dados IHS'!$C$1:$C$676,0),MATCH($R$1,'Base de dados IHS'!$A$1:$V$1,0))</f>
        <v>1.2604561072177764E-2</v>
      </c>
      <c r="S4" s="131">
        <f>INDEX('Base de dados IHS'!$A$1:$V$676,MATCH($N4,'Base de dados IHS'!$C$1:$C$676,0),MATCH($S$1,'Base de dados IHS'!$A$1:$V$1,0))</f>
        <v>2.1625932790349609E-3</v>
      </c>
      <c r="T4" t="str">
        <f>IF(Q4&lt;'Cenario A ranking setor PIB'!$G$58,"N","Y")</f>
        <v>N</v>
      </c>
    </row>
    <row r="5" spans="1:20" x14ac:dyDescent="0.45">
      <c r="A5" s="293" t="s">
        <v>907</v>
      </c>
      <c r="B5" s="297" t="s">
        <v>7</v>
      </c>
      <c r="C5" s="297" t="s">
        <v>958</v>
      </c>
      <c r="D5" s="311">
        <v>125695.23434510001</v>
      </c>
      <c r="E5" s="311">
        <v>312738.56214605999</v>
      </c>
      <c r="F5" s="302">
        <f t="shared" si="0"/>
        <v>1.4880701625284134</v>
      </c>
      <c r="G5" s="311">
        <v>200452.70680623999</v>
      </c>
      <c r="H5" s="311">
        <v>312738.56214605999</v>
      </c>
      <c r="I5" s="302">
        <f t="shared" si="1"/>
        <v>0.56016133246011424</v>
      </c>
      <c r="J5" s="311">
        <v>387905.94922106998</v>
      </c>
      <c r="K5" s="311">
        <v>408722.45923436002</v>
      </c>
      <c r="L5" s="311">
        <v>416636.02369285002</v>
      </c>
      <c r="M5" s="312">
        <v>419891.77966851997</v>
      </c>
      <c r="N5" t="str">
        <f t="shared" si="2"/>
        <v>ChinaManufacture of motor vehicles, trailers and semi-trailers (C29)</v>
      </c>
      <c r="O5" s="11">
        <f>INDEX('Base de dados IHS'!$A$1:$V$676,MATCH($N5,'Base de dados IHS'!$C$1:$C$676,0),MATCH($O$1,'Base de dados IHS'!$A$1:$V$1,0))</f>
        <v>11048064.947659001</v>
      </c>
      <c r="P5" s="11">
        <f>INDEX('Base de dados IHS'!$A$1:$V$676,MATCH($N5,'Base de dados IHS'!$C$1:$C$676,0),MATCH($P$1,'Base de dados IHS'!$A$1:$V$1,0))</f>
        <v>15827750.501527</v>
      </c>
      <c r="Q5" s="131">
        <f>INDEX('Base de dados IHS'!$A$1:$V$676,MATCH($N5,'Base de dados IHS'!$C$1:$C$676,0),MATCH($Q$1,'Base de dados IHS'!$A$1:$V$1,0))</f>
        <v>1.8143693737853555E-2</v>
      </c>
      <c r="R5" s="131">
        <f>INDEX('Base de dados IHS'!$A$1:$V$676,MATCH($N5,'Base de dados IHS'!$C$1:$C$676,0),MATCH($R$1,'Base de dados IHS'!$A$1:$V$1,0))</f>
        <v>1.9758876166002755E-2</v>
      </c>
      <c r="S5" s="131">
        <f>INDEX('Base de dados IHS'!$A$1:$V$676,MATCH($N5,'Base de dados IHS'!$C$1:$C$676,0),MATCH($S$1,'Base de dados IHS'!$A$1:$V$1,0))</f>
        <v>1.6151824281491999E-3</v>
      </c>
      <c r="T5" t="str">
        <f>IF(Q5&lt;'Cenario A ranking setor PIB'!$G$58,"N","Y")</f>
        <v>Y</v>
      </c>
    </row>
    <row r="6" spans="1:20" hidden="1" x14ac:dyDescent="0.45">
      <c r="A6" s="293" t="s">
        <v>101</v>
      </c>
      <c r="B6" s="297" t="s">
        <v>7</v>
      </c>
      <c r="C6" s="297" t="s">
        <v>958</v>
      </c>
      <c r="D6" s="311">
        <v>10652.84326749</v>
      </c>
      <c r="E6" s="311">
        <v>15203.989467400001</v>
      </c>
      <c r="F6" s="302">
        <f t="shared" si="0"/>
        <v>0.4272236139809773</v>
      </c>
      <c r="G6" s="311">
        <v>11952.400219630001</v>
      </c>
      <c r="H6" s="311">
        <v>15203.989467400001</v>
      </c>
      <c r="I6" s="302">
        <f t="shared" si="1"/>
        <v>0.27204487701388702</v>
      </c>
      <c r="J6" s="311">
        <v>13840.34402583</v>
      </c>
      <c r="K6" s="311">
        <v>16984.346032050002</v>
      </c>
      <c r="L6" s="311">
        <v>18061.286098960001</v>
      </c>
      <c r="M6" s="312">
        <v>19417.617767079999</v>
      </c>
      <c r="N6" t="str">
        <f t="shared" si="2"/>
        <v>ItalyManufacture of motor vehicles, trailers and semi-trailers (C29)</v>
      </c>
      <c r="O6" s="11">
        <f>INDEX('Base de dados IHS'!$A$1:$V$676,MATCH($N6,'Base de dados IHS'!$C$1:$C$676,0),MATCH($O$1,'Base de dados IHS'!$A$1:$V$1,0))</f>
        <v>1924364.2462229</v>
      </c>
      <c r="P6" s="11">
        <f>INDEX('Base de dados IHS'!$A$1:$V$676,MATCH($N6,'Base de dados IHS'!$C$1:$C$676,0),MATCH($P$1,'Base de dados IHS'!$A$1:$V$1,0))</f>
        <v>1980878.3634254001</v>
      </c>
      <c r="Q6" s="131">
        <f>INDEX('Base de dados IHS'!$A$1:$V$676,MATCH($N6,'Base de dados IHS'!$C$1:$C$676,0),MATCH($Q$1,'Base de dados IHS'!$A$1:$V$1,0))</f>
        <v>6.2110903604085926E-3</v>
      </c>
      <c r="R6" s="131">
        <f>INDEX('Base de dados IHS'!$A$1:$V$676,MATCH($N6,'Base de dados IHS'!$C$1:$C$676,0),MATCH($R$1,'Base de dados IHS'!$A$1:$V$1,0))</f>
        <v>7.6753776244538113E-3</v>
      </c>
      <c r="S6" s="131">
        <f>INDEX('Base de dados IHS'!$A$1:$V$676,MATCH($N6,'Base de dados IHS'!$C$1:$C$676,0),MATCH($S$1,'Base de dados IHS'!$A$1:$V$1,0))</f>
        <v>1.4642872640452187E-3</v>
      </c>
      <c r="T6" t="str">
        <f>IF(Q6&lt;'Cenario A ranking setor PIB'!$G$58,"N","Y")</f>
        <v>N</v>
      </c>
    </row>
    <row r="7" spans="1:20" x14ac:dyDescent="0.45">
      <c r="A7" s="293" t="s">
        <v>75</v>
      </c>
      <c r="B7" s="297" t="s">
        <v>7</v>
      </c>
      <c r="C7" s="297" t="s">
        <v>958</v>
      </c>
      <c r="D7" s="311">
        <v>24730.220593090002</v>
      </c>
      <c r="E7" s="311">
        <v>40658.126428670002</v>
      </c>
      <c r="F7" s="302">
        <f t="shared" si="0"/>
        <v>0.64406646821543112</v>
      </c>
      <c r="G7" s="311">
        <v>38188.866301169997</v>
      </c>
      <c r="H7" s="311">
        <v>40658.126428670002</v>
      </c>
      <c r="I7" s="302">
        <f t="shared" si="1"/>
        <v>6.4659162909592727E-2</v>
      </c>
      <c r="J7" s="311">
        <v>50213.00335626</v>
      </c>
      <c r="K7" s="311">
        <v>50555.37274608</v>
      </c>
      <c r="L7" s="311">
        <v>50868.703413099996</v>
      </c>
      <c r="M7" s="312">
        <v>50732.159157950002</v>
      </c>
      <c r="N7" t="str">
        <f t="shared" si="2"/>
        <v>MexicoManufacture of motor vehicles, trailers and semi-trailers (C29)</v>
      </c>
      <c r="O7" s="11">
        <f>INDEX('Base de dados IHS'!$A$1:$V$676,MATCH($N7,'Base de dados IHS'!$C$1:$C$676,0),MATCH($O$1,'Base de dados IHS'!$A$1:$V$1,0))</f>
        <v>1239119.2771185001</v>
      </c>
      <c r="P7" s="11">
        <f>INDEX('Base de dados IHS'!$A$1:$V$676,MATCH($N7,'Base de dados IHS'!$C$1:$C$676,0),MATCH($P$1,'Base de dados IHS'!$A$1:$V$1,0))</f>
        <v>1262038.2891611001</v>
      </c>
      <c r="Q7" s="131">
        <f>INDEX('Base de dados IHS'!$A$1:$V$676,MATCH($N7,'Base de dados IHS'!$C$1:$C$676,0),MATCH($Q$1,'Base de dados IHS'!$A$1:$V$1,0))</f>
        <v>3.0819362595968961E-2</v>
      </c>
      <c r="R7" s="131">
        <f>INDEX('Base de dados IHS'!$A$1:$V$676,MATCH($N7,'Base de dados IHS'!$C$1:$C$676,0),MATCH($R$1,'Base de dados IHS'!$A$1:$V$1,0))</f>
        <v>3.2216238427834235E-2</v>
      </c>
      <c r="S7" s="131">
        <f>INDEX('Base de dados IHS'!$A$1:$V$676,MATCH($N7,'Base de dados IHS'!$C$1:$C$676,0),MATCH($S$1,'Base de dados IHS'!$A$1:$V$1,0))</f>
        <v>1.3968758318652734E-3</v>
      </c>
      <c r="T7" t="str">
        <f>IF(Q7&lt;'Cenario A ranking setor PIB'!$G$58,"N","Y")</f>
        <v>Y</v>
      </c>
    </row>
    <row r="8" spans="1:20" x14ac:dyDescent="0.45">
      <c r="A8" s="293" t="s">
        <v>162</v>
      </c>
      <c r="B8" s="297" t="s">
        <v>7</v>
      </c>
      <c r="C8" s="297" t="s">
        <v>958</v>
      </c>
      <c r="D8" s="311">
        <v>1663.2158620299999</v>
      </c>
      <c r="E8" s="311">
        <v>3369.9779528600002</v>
      </c>
      <c r="F8" s="302">
        <f t="shared" si="0"/>
        <v>1.0261819465495301</v>
      </c>
      <c r="G8" s="311">
        <v>2469.3940235599998</v>
      </c>
      <c r="H8" s="311">
        <v>3369.9779528600002</v>
      </c>
      <c r="I8" s="302">
        <f t="shared" si="1"/>
        <v>0.36469835138001772</v>
      </c>
      <c r="J8" s="311">
        <v>3615.1915073999999</v>
      </c>
      <c r="K8" s="311">
        <v>3587.4795640699999</v>
      </c>
      <c r="L8" s="311">
        <v>3883.5918696799999</v>
      </c>
      <c r="M8" s="312">
        <v>4107.2734425899998</v>
      </c>
      <c r="N8" t="str">
        <f t="shared" si="2"/>
        <v>RomaniaManufacture of motor vehicles, trailers and semi-trailers (C29)</v>
      </c>
      <c r="O8" s="11">
        <f>INDEX('Base de dados IHS'!$A$1:$V$676,MATCH($N8,'Base de dados IHS'!$C$1:$C$676,0),MATCH($O$1,'Base de dados IHS'!$A$1:$V$1,0))</f>
        <v>204518.17392167001</v>
      </c>
      <c r="P8" s="11">
        <f>INDEX('Base de dados IHS'!$A$1:$V$676,MATCH($N8,'Base de dados IHS'!$C$1:$C$676,0),MATCH($P$1,'Base de dados IHS'!$A$1:$V$1,0))</f>
        <v>254974.25152873</v>
      </c>
      <c r="Q8" s="131">
        <f>INDEX('Base de dados IHS'!$A$1:$V$676,MATCH($N8,'Base de dados IHS'!$C$1:$C$676,0),MATCH($Q$1,'Base de dados IHS'!$A$1:$V$1,0))</f>
        <v>1.2074203363979633E-2</v>
      </c>
      <c r="R8" s="131">
        <f>INDEX('Base de dados IHS'!$A$1:$V$676,MATCH($N8,'Base de dados IHS'!$C$1:$C$676,0),MATCH($R$1,'Base de dados IHS'!$A$1:$V$1,0))</f>
        <v>1.3216934387118998E-2</v>
      </c>
      <c r="S8" s="131">
        <f>INDEX('Base de dados IHS'!$A$1:$V$676,MATCH($N8,'Base de dados IHS'!$C$1:$C$676,0),MATCH($S$1,'Base de dados IHS'!$A$1:$V$1,0))</f>
        <v>1.1427310231393647E-3</v>
      </c>
      <c r="T8" t="str">
        <f>IF(Q8&lt;'Cenario A ranking setor PIB'!$G$58,"N","Y")</f>
        <v>Y</v>
      </c>
    </row>
    <row r="9" spans="1:20" x14ac:dyDescent="0.45">
      <c r="A9" s="293" t="s">
        <v>164</v>
      </c>
      <c r="B9" s="297" t="s">
        <v>7</v>
      </c>
      <c r="C9" s="297" t="s">
        <v>958</v>
      </c>
      <c r="D9" s="311">
        <v>1093.3212817599999</v>
      </c>
      <c r="E9" s="311">
        <v>1603.2818181499999</v>
      </c>
      <c r="F9" s="302">
        <f t="shared" si="0"/>
        <v>0.46643246125153515</v>
      </c>
      <c r="G9" s="311">
        <v>1330.19476274</v>
      </c>
      <c r="H9" s="311">
        <v>1603.2818181499999</v>
      </c>
      <c r="I9" s="302">
        <f t="shared" si="1"/>
        <v>0.20529854955035454</v>
      </c>
      <c r="J9" s="311">
        <v>2131.7634194399998</v>
      </c>
      <c r="K9" s="311">
        <v>2363.1751210000002</v>
      </c>
      <c r="L9" s="311">
        <v>2318.2759838500001</v>
      </c>
      <c r="M9" s="312">
        <v>2785.1921599100001</v>
      </c>
      <c r="N9" t="str">
        <f t="shared" si="2"/>
        <v>MoroccoManufacture of motor vehicles, trailers and semi-trailers (C29)</v>
      </c>
      <c r="O9" s="11">
        <f>INDEX('Base de dados IHS'!$A$1:$V$676,MATCH($N9,'Base de dados IHS'!$C$1:$C$676,0),MATCH($O$1,'Base de dados IHS'!$A$1:$V$1,0))</f>
        <v>115608.87885166</v>
      </c>
      <c r="P9" s="11">
        <f>INDEX('Base de dados IHS'!$A$1:$V$676,MATCH($N9,'Base de dados IHS'!$C$1:$C$676,0),MATCH($P$1,'Base de dados IHS'!$A$1:$V$1,0))</f>
        <v>129710.11086108</v>
      </c>
      <c r="Q9" s="131">
        <f>INDEX('Base de dados IHS'!$A$1:$V$676,MATCH($N9,'Base de dados IHS'!$C$1:$C$676,0),MATCH($Q$1,'Base de dados IHS'!$A$1:$V$1,0))</f>
        <v>1.1505991373264668E-2</v>
      </c>
      <c r="R9" s="131">
        <f>INDEX('Base de dados IHS'!$A$1:$V$676,MATCH($N9,'Base de dados IHS'!$C$1:$C$676,0),MATCH($R$1,'Base de dados IHS'!$A$1:$V$1,0))</f>
        <v>1.2360499944889575E-2</v>
      </c>
      <c r="S9" s="131">
        <f>INDEX('Base de dados IHS'!$A$1:$V$676,MATCH($N9,'Base de dados IHS'!$C$1:$C$676,0),MATCH($S$1,'Base de dados IHS'!$A$1:$V$1,0))</f>
        <v>8.5450857162490748E-4</v>
      </c>
      <c r="T9" t="str">
        <f>IF(Q9&lt;'Cenario A ranking setor PIB'!$G$58,"N","Y")</f>
        <v>Y</v>
      </c>
    </row>
    <row r="10" spans="1:20" hidden="1" x14ac:dyDescent="0.45">
      <c r="A10" s="293" t="s">
        <v>72</v>
      </c>
      <c r="B10" s="297" t="s">
        <v>7</v>
      </c>
      <c r="C10" s="297" t="s">
        <v>958</v>
      </c>
      <c r="D10" s="311">
        <v>3337.3908202100001</v>
      </c>
      <c r="E10" s="311">
        <v>4487.92137413</v>
      </c>
      <c r="F10" s="302">
        <f t="shared" si="0"/>
        <v>0.34473953333628593</v>
      </c>
      <c r="G10" s="311">
        <v>3972.49513445</v>
      </c>
      <c r="H10" s="311">
        <v>4487.92137413</v>
      </c>
      <c r="I10" s="302">
        <f t="shared" si="1"/>
        <v>0.12974874033454586</v>
      </c>
      <c r="J10" s="311">
        <v>4157.9811017900001</v>
      </c>
      <c r="K10" s="311">
        <v>4212.59117496</v>
      </c>
      <c r="L10" s="311">
        <v>4626.2302328400001</v>
      </c>
      <c r="M10" s="312">
        <v>4397.6874293700002</v>
      </c>
      <c r="N10" t="str">
        <f t="shared" si="2"/>
        <v>AustriaManufacture of motor vehicles, trailers and semi-trailers (C29)</v>
      </c>
      <c r="O10" s="11">
        <f>INDEX('Base de dados IHS'!$A$1:$V$676,MATCH($N10,'Base de dados IHS'!$C$1:$C$676,0),MATCH($O$1,'Base de dados IHS'!$A$1:$V$1,0))</f>
        <v>410010.85265116999</v>
      </c>
      <c r="P10" s="11">
        <f>INDEX('Base de dados IHS'!$A$1:$V$676,MATCH($N10,'Base de dados IHS'!$C$1:$C$676,0),MATCH($P$1,'Base de dados IHS'!$A$1:$V$1,0))</f>
        <v>432694.04992214998</v>
      </c>
      <c r="Q10" s="131">
        <f>INDEX('Base de dados IHS'!$A$1:$V$676,MATCH($N10,'Base de dados IHS'!$C$1:$C$676,0),MATCH($Q$1,'Base de dados IHS'!$A$1:$V$1,0))</f>
        <v>9.6887560628297047E-3</v>
      </c>
      <c r="R10" s="131">
        <f>INDEX('Base de dados IHS'!$A$1:$V$676,MATCH($N10,'Base de dados IHS'!$C$1:$C$676,0),MATCH($R$1,'Base de dados IHS'!$A$1:$V$1,0))</f>
        <v>1.0372043190650446E-2</v>
      </c>
      <c r="S10" s="131">
        <f>INDEX('Base de dados IHS'!$A$1:$V$676,MATCH($N10,'Base de dados IHS'!$C$1:$C$676,0),MATCH($S$1,'Base de dados IHS'!$A$1:$V$1,0))</f>
        <v>6.8328712782074127E-4</v>
      </c>
      <c r="T10" t="str">
        <f>IF(Q10&lt;'Cenario A ranking setor PIB'!$G$58,"N","Y")</f>
        <v>N</v>
      </c>
    </row>
    <row r="11" spans="1:20" hidden="1" x14ac:dyDescent="0.45">
      <c r="A11" s="293" t="s">
        <v>122</v>
      </c>
      <c r="B11" s="297" t="s">
        <v>7</v>
      </c>
      <c r="C11" s="297" t="s">
        <v>958</v>
      </c>
      <c r="D11" s="311">
        <v>1004.9674494</v>
      </c>
      <c r="E11" s="311">
        <v>2698.8418427900001</v>
      </c>
      <c r="F11" s="302">
        <f t="shared" si="0"/>
        <v>1.685501748739525</v>
      </c>
      <c r="G11" s="311">
        <v>1777.51424419</v>
      </c>
      <c r="H11" s="311">
        <v>2698.8418427900001</v>
      </c>
      <c r="I11" s="302">
        <f t="shared" si="1"/>
        <v>0.51832360928271615</v>
      </c>
      <c r="J11" s="311">
        <v>3333.0399300099998</v>
      </c>
      <c r="K11" s="311">
        <v>4545.9486298000002</v>
      </c>
      <c r="L11" s="311">
        <v>5554.9691564499999</v>
      </c>
      <c r="M11" s="312">
        <v>7170.0651584200004</v>
      </c>
      <c r="N11" t="str">
        <f t="shared" si="2"/>
        <v>VietnamManufacture of motor vehicles, trailers and semi-trailers (C29)</v>
      </c>
      <c r="O11" s="11">
        <f>INDEX('Base de dados IHS'!$A$1:$V$676,MATCH($N11,'Base de dados IHS'!$C$1:$C$676,0),MATCH($O$1,'Base de dados IHS'!$A$1:$V$1,0))</f>
        <v>254018.52751081</v>
      </c>
      <c r="P11" s="11">
        <f>INDEX('Base de dados IHS'!$A$1:$V$676,MATCH($N11,'Base de dados IHS'!$C$1:$C$676,0),MATCH($P$1,'Base de dados IHS'!$A$1:$V$1,0))</f>
        <v>352775.42056751001</v>
      </c>
      <c r="Q11" s="131">
        <f>INDEX('Base de dados IHS'!$A$1:$V$676,MATCH($N11,'Base de dados IHS'!$C$1:$C$676,0),MATCH($Q$1,'Base de dados IHS'!$A$1:$V$1,0))</f>
        <v>6.997577151589292E-3</v>
      </c>
      <c r="R11" s="131">
        <f>INDEX('Base de dados IHS'!$A$1:$V$676,MATCH($N11,'Base de dados IHS'!$C$1:$C$676,0),MATCH($R$1,'Base de dados IHS'!$A$1:$V$1,0))</f>
        <v>7.6503114600455207E-3</v>
      </c>
      <c r="S11" s="131">
        <f>INDEX('Base de dados IHS'!$A$1:$V$676,MATCH($N11,'Base de dados IHS'!$C$1:$C$676,0),MATCH($S$1,'Base de dados IHS'!$A$1:$V$1,0))</f>
        <v>6.5273430845622874E-4</v>
      </c>
      <c r="T11" t="str">
        <f>IF(Q11&lt;'Cenario A ranking setor PIB'!$G$58,"N","Y")</f>
        <v>N</v>
      </c>
    </row>
    <row r="12" spans="1:20" hidden="1" x14ac:dyDescent="0.45">
      <c r="A12" s="293" t="s">
        <v>126</v>
      </c>
      <c r="B12" s="297" t="s">
        <v>7</v>
      </c>
      <c r="C12" s="297" t="s">
        <v>958</v>
      </c>
      <c r="D12" s="311">
        <v>464.78265332000001</v>
      </c>
      <c r="E12" s="311">
        <v>780.62308525000003</v>
      </c>
      <c r="F12" s="302">
        <f t="shared" si="0"/>
        <v>0.67954436266911578</v>
      </c>
      <c r="G12" s="311">
        <v>555.91648190000001</v>
      </c>
      <c r="H12" s="311">
        <v>780.62308525000003</v>
      </c>
      <c r="I12" s="302">
        <f t="shared" si="1"/>
        <v>0.40420928442704618</v>
      </c>
      <c r="J12" s="311">
        <v>390.79787786000003</v>
      </c>
      <c r="K12" s="311">
        <v>392.82764298000001</v>
      </c>
      <c r="L12" s="311">
        <v>393.97910452000002</v>
      </c>
      <c r="M12" s="312">
        <v>458.38812615000001</v>
      </c>
      <c r="N12" t="str">
        <f t="shared" si="2"/>
        <v>FinlandManufacture of motor vehicles, trailers and semi-trailers (C29)</v>
      </c>
      <c r="O12" s="11">
        <f>INDEX('Base de dados IHS'!$A$1:$V$676,MATCH($N12,'Base de dados IHS'!$C$1:$C$676,0),MATCH($O$1,'Base de dados IHS'!$A$1:$V$1,0))</f>
        <v>247207.29862345001</v>
      </c>
      <c r="P12" s="11">
        <f>INDEX('Base de dados IHS'!$A$1:$V$676,MATCH($N12,'Base de dados IHS'!$C$1:$C$676,0),MATCH($P$1,'Base de dados IHS'!$A$1:$V$1,0))</f>
        <v>270499.52733732999</v>
      </c>
      <c r="Q12" s="131">
        <f>INDEX('Base de dados IHS'!$A$1:$V$676,MATCH($N12,'Base de dados IHS'!$C$1:$C$676,0),MATCH($Q$1,'Base de dados IHS'!$A$1:$V$1,0))</f>
        <v>2.2487866862975618E-3</v>
      </c>
      <c r="R12" s="131">
        <f>INDEX('Base de dados IHS'!$A$1:$V$676,MATCH($N12,'Base de dados IHS'!$C$1:$C$676,0),MATCH($R$1,'Base de dados IHS'!$A$1:$V$1,0))</f>
        <v>2.8858574835013066E-3</v>
      </c>
      <c r="S12" s="131">
        <f>INDEX('Base de dados IHS'!$A$1:$V$676,MATCH($N12,'Base de dados IHS'!$C$1:$C$676,0),MATCH($S$1,'Base de dados IHS'!$A$1:$V$1,0))</f>
        <v>6.3707079720374486E-4</v>
      </c>
      <c r="T12" t="str">
        <f>IF(Q12&lt;'Cenario A ranking setor PIB'!$G$58,"N","Y")</f>
        <v>N</v>
      </c>
    </row>
    <row r="13" spans="1:20" hidden="1" x14ac:dyDescent="0.45">
      <c r="A13" s="293" t="s">
        <v>106</v>
      </c>
      <c r="B13" s="297" t="s">
        <v>7</v>
      </c>
      <c r="C13" s="297" t="s">
        <v>958</v>
      </c>
      <c r="D13" s="311">
        <v>5539.5601030899998</v>
      </c>
      <c r="E13" s="311">
        <v>8267.2927805800009</v>
      </c>
      <c r="F13" s="302">
        <f t="shared" si="0"/>
        <v>0.49240961858477816</v>
      </c>
      <c r="G13" s="311">
        <v>6573.40245168</v>
      </c>
      <c r="H13" s="311">
        <v>8267.2927805800009</v>
      </c>
      <c r="I13" s="302">
        <f t="shared" si="1"/>
        <v>0.25768851692126105</v>
      </c>
      <c r="J13" s="311">
        <v>7286.5469377999998</v>
      </c>
      <c r="K13" s="311">
        <v>7832.1630643899998</v>
      </c>
      <c r="L13" s="311">
        <v>8217.6334075499999</v>
      </c>
      <c r="M13" s="312">
        <v>9526.9640060799993</v>
      </c>
      <c r="N13" t="str">
        <f t="shared" si="2"/>
        <v>RussiaManufacture of motor vehicles, trailers and semi-trailers (C29)</v>
      </c>
      <c r="O13" s="11">
        <f>INDEX('Base de dados IHS'!$A$1:$V$676,MATCH($N13,'Base de dados IHS'!$C$1:$C$676,0),MATCH($O$1,'Base de dados IHS'!$A$1:$V$1,0))</f>
        <v>1579786.0768998</v>
      </c>
      <c r="P13" s="11">
        <f>INDEX('Base de dados IHS'!$A$1:$V$676,MATCH($N13,'Base de dados IHS'!$C$1:$C$676,0),MATCH($P$1,'Base de dados IHS'!$A$1:$V$1,0))</f>
        <v>1741025.8573970001</v>
      </c>
      <c r="Q13" s="131">
        <f>INDEX('Base de dados IHS'!$A$1:$V$676,MATCH($N13,'Base de dados IHS'!$C$1:$C$676,0),MATCH($Q$1,'Base de dados IHS'!$A$1:$V$1,0))</f>
        <v>4.1609446670018519E-3</v>
      </c>
      <c r="R13" s="131">
        <f>INDEX('Base de dados IHS'!$A$1:$V$676,MATCH($N13,'Base de dados IHS'!$C$1:$C$676,0),MATCH($R$1,'Base de dados IHS'!$A$1:$V$1,0))</f>
        <v>4.7485180909032521E-3</v>
      </c>
      <c r="S13" s="131">
        <f>INDEX('Base de dados IHS'!$A$1:$V$676,MATCH($N13,'Base de dados IHS'!$C$1:$C$676,0),MATCH($S$1,'Base de dados IHS'!$A$1:$V$1,0))</f>
        <v>5.8757342390140018E-4</v>
      </c>
      <c r="T13" t="str">
        <f>IF(Q13&lt;'Cenario A ranking setor PIB'!$G$58,"N","Y")</f>
        <v>N</v>
      </c>
    </row>
    <row r="14" spans="1:20" x14ac:dyDescent="0.45">
      <c r="A14" s="294" t="s">
        <v>18</v>
      </c>
      <c r="B14" s="299" t="s">
        <v>7</v>
      </c>
      <c r="C14" s="297" t="s">
        <v>958</v>
      </c>
      <c r="D14" s="313">
        <v>31897.325131559999</v>
      </c>
      <c r="E14" s="313">
        <v>21237.925348559998</v>
      </c>
      <c r="F14" s="304">
        <f t="shared" si="0"/>
        <v>-0.33417848484270951</v>
      </c>
      <c r="G14" s="313">
        <v>19784.182767269998</v>
      </c>
      <c r="H14" s="313">
        <v>21237.925348559998</v>
      </c>
      <c r="I14" s="304">
        <f t="shared" si="1"/>
        <v>7.3480042031101922E-2</v>
      </c>
      <c r="J14" s="313">
        <v>24113.71303834</v>
      </c>
      <c r="K14" s="313">
        <v>29711.951706759999</v>
      </c>
      <c r="L14" s="313">
        <v>34124.292759700002</v>
      </c>
      <c r="M14" s="314">
        <v>39999.410514750001</v>
      </c>
      <c r="N14" t="str">
        <f t="shared" si="2"/>
        <v>BrazilManufacture of motor vehicles, trailers and semi-trailers (C29)</v>
      </c>
      <c r="O14" s="11">
        <f>INDEX('Base de dados IHS'!$A$1:$V$676,MATCH($N14,'Base de dados IHS'!$C$1:$C$676,0),MATCH($O$1,'Base de dados IHS'!$A$1:$V$1,0))</f>
        <v>1855726.8356911</v>
      </c>
      <c r="P14" s="11">
        <f>INDEX('Base de dados IHS'!$A$1:$V$676,MATCH($N14,'Base de dados IHS'!$C$1:$C$676,0),MATCH($P$1,'Base de dados IHS'!$A$1:$V$1,0))</f>
        <v>1898091.4722179</v>
      </c>
      <c r="Q14" s="131">
        <f>INDEX('Base de dados IHS'!$A$1:$V$676,MATCH($N14,'Base de dados IHS'!$C$1:$C$676,0),MATCH($Q$1,'Base de dados IHS'!$A$1:$V$1,0))</f>
        <v>1.0661150330297442E-2</v>
      </c>
      <c r="R14" s="131">
        <f>INDEX('Base de dados IHS'!$A$1:$V$676,MATCH($N14,'Base de dados IHS'!$C$1:$C$676,0),MATCH($R$1,'Base de dados IHS'!$A$1:$V$1,0))</f>
        <v>1.1189094761457257E-2</v>
      </c>
      <c r="S14" s="131">
        <f>INDEX('Base de dados IHS'!$A$1:$V$676,MATCH($N14,'Base de dados IHS'!$C$1:$C$676,0),MATCH($S$1,'Base de dados IHS'!$A$1:$V$1,0))</f>
        <v>5.2794443115981513E-4</v>
      </c>
      <c r="T14" t="str">
        <f>IF(Q14&lt;'Cenario A ranking setor PIB'!$G$58,"N","Y")</f>
        <v>Y</v>
      </c>
    </row>
    <row r="15" spans="1:20" hidden="1" x14ac:dyDescent="0.45">
      <c r="A15" s="293" t="s">
        <v>172</v>
      </c>
      <c r="B15" s="297" t="s">
        <v>7</v>
      </c>
      <c r="C15" s="297" t="s">
        <v>958</v>
      </c>
      <c r="D15" s="311">
        <v>52.707772589999998</v>
      </c>
      <c r="E15" s="311">
        <v>90.687909939999997</v>
      </c>
      <c r="F15" s="302">
        <f t="shared" si="0"/>
        <v>0.72057944177299182</v>
      </c>
      <c r="G15" s="311">
        <v>58.272450050000003</v>
      </c>
      <c r="H15" s="311">
        <v>90.687909939999997</v>
      </c>
      <c r="I15" s="302">
        <f t="shared" si="1"/>
        <v>0.55627418895526581</v>
      </c>
      <c r="J15" s="311">
        <v>117.40116055999999</v>
      </c>
      <c r="K15" s="311">
        <v>133.75806997000001</v>
      </c>
      <c r="L15" s="311">
        <v>121.31914061000001</v>
      </c>
      <c r="M15" s="312">
        <v>107.10967731</v>
      </c>
      <c r="N15" t="str">
        <f t="shared" si="2"/>
        <v>UruguayManufacture of motor vehicles, trailers and semi-trailers (C29)</v>
      </c>
      <c r="O15" s="11">
        <f>INDEX('Base de dados IHS'!$A$1:$V$676,MATCH($N15,'Base de dados IHS'!$C$1:$C$676,0),MATCH($O$1,'Base de dados IHS'!$A$1:$V$1,0))</f>
        <v>59449.563607900003</v>
      </c>
      <c r="P15" s="11">
        <f>INDEX('Base de dados IHS'!$A$1:$V$676,MATCH($N15,'Base de dados IHS'!$C$1:$C$676,0),MATCH($P$1,'Base de dados IHS'!$A$1:$V$1,0))</f>
        <v>61243.536031950003</v>
      </c>
      <c r="Q15" s="131">
        <f>INDEX('Base de dados IHS'!$A$1:$V$676,MATCH($N15,'Base de dados IHS'!$C$1:$C$676,0),MATCH($Q$1,'Base de dados IHS'!$A$1:$V$1,0))</f>
        <v>9.8019979480987174E-4</v>
      </c>
      <c r="R15" s="131">
        <f>INDEX('Base de dados IHS'!$A$1:$V$676,MATCH($N15,'Base de dados IHS'!$C$1:$C$676,0),MATCH($R$1,'Base de dados IHS'!$A$1:$V$1,0))</f>
        <v>1.4807752101820056E-3</v>
      </c>
      <c r="S15" s="131">
        <f>INDEX('Base de dados IHS'!$A$1:$V$676,MATCH($N15,'Base de dados IHS'!$C$1:$C$676,0),MATCH($S$1,'Base de dados IHS'!$A$1:$V$1,0))</f>
        <v>5.0057541537213389E-4</v>
      </c>
      <c r="T15" t="str">
        <f>IF(Q15&lt;'Cenario A ranking setor PIB'!$G$58,"N","Y")</f>
        <v>N</v>
      </c>
    </row>
    <row r="16" spans="1:20" hidden="1" x14ac:dyDescent="0.45">
      <c r="A16" s="293" t="s">
        <v>66</v>
      </c>
      <c r="B16" s="297" t="s">
        <v>7</v>
      </c>
      <c r="C16" s="297" t="s">
        <v>958</v>
      </c>
      <c r="D16" s="311">
        <v>2490.8210780200002</v>
      </c>
      <c r="E16" s="311">
        <v>3116.1079408300002</v>
      </c>
      <c r="F16" s="302">
        <f t="shared" si="0"/>
        <v>0.25103644269264502</v>
      </c>
      <c r="G16" s="311">
        <v>2476.5469147499998</v>
      </c>
      <c r="H16" s="311">
        <v>3116.1079408300002</v>
      </c>
      <c r="I16" s="302">
        <f t="shared" si="1"/>
        <v>0.25824708680899833</v>
      </c>
      <c r="J16" s="311">
        <v>3171.6694012399998</v>
      </c>
      <c r="K16" s="311">
        <v>3122.4174264899998</v>
      </c>
      <c r="L16" s="311">
        <v>3039.7548045799999</v>
      </c>
      <c r="M16" s="312">
        <v>2846.3515322500002</v>
      </c>
      <c r="N16" t="str">
        <f t="shared" si="2"/>
        <v>NetherlandsManufacture of motor vehicles, trailers and semi-trailers (C29)</v>
      </c>
      <c r="O16" s="11">
        <f>INDEX('Base de dados IHS'!$A$1:$V$676,MATCH($N16,'Base de dados IHS'!$C$1:$C$676,0),MATCH($O$1,'Base de dados IHS'!$A$1:$V$1,0))</f>
        <v>829203.89806390996</v>
      </c>
      <c r="P16" s="11">
        <f>INDEX('Base de dados IHS'!$A$1:$V$676,MATCH($N16,'Base de dados IHS'!$C$1:$C$676,0),MATCH($P$1,'Base de dados IHS'!$A$1:$V$1,0))</f>
        <v>928325.09368340997</v>
      </c>
      <c r="Q16" s="131">
        <f>INDEX('Base de dados IHS'!$A$1:$V$676,MATCH($N16,'Base de dados IHS'!$C$1:$C$676,0),MATCH($Q$1,'Base de dados IHS'!$A$1:$V$1,0))</f>
        <v>2.9866561415502688E-3</v>
      </c>
      <c r="R16" s="131">
        <f>INDEX('Base de dados IHS'!$A$1:$V$676,MATCH($N16,'Base de dados IHS'!$C$1:$C$676,0),MATCH($R$1,'Base de dados IHS'!$A$1:$V$1,0))</f>
        <v>3.3566990292871451E-3</v>
      </c>
      <c r="S16" s="131">
        <f>INDEX('Base de dados IHS'!$A$1:$V$676,MATCH($N16,'Base de dados IHS'!$C$1:$C$676,0),MATCH($S$1,'Base de dados IHS'!$A$1:$V$1,0))</f>
        <v>3.7004288773687631E-4</v>
      </c>
      <c r="T16" t="str">
        <f>IF(Q16&lt;'Cenario A ranking setor PIB'!$G$58,"N","Y")</f>
        <v>N</v>
      </c>
    </row>
    <row r="17" spans="1:20" hidden="1" x14ac:dyDescent="0.45">
      <c r="A17" s="293" t="s">
        <v>147</v>
      </c>
      <c r="B17" s="297" t="s">
        <v>7</v>
      </c>
      <c r="C17" s="297" t="s">
        <v>958</v>
      </c>
      <c r="D17" s="311">
        <v>629.23250459999997</v>
      </c>
      <c r="E17" s="311">
        <v>924.22557746999996</v>
      </c>
      <c r="F17" s="302">
        <f t="shared" si="0"/>
        <v>0.46881410402904344</v>
      </c>
      <c r="G17" s="311">
        <v>748.18180552000001</v>
      </c>
      <c r="H17" s="311">
        <v>924.22557746999996</v>
      </c>
      <c r="I17" s="302">
        <f t="shared" si="1"/>
        <v>0.23529544644252121</v>
      </c>
      <c r="J17" s="311">
        <v>891.93832442999997</v>
      </c>
      <c r="K17" s="311">
        <v>964.67764369999998</v>
      </c>
      <c r="L17" s="311">
        <v>1012.30993689</v>
      </c>
      <c r="M17" s="312">
        <v>1075.4259805300001</v>
      </c>
      <c r="N17" t="str">
        <f t="shared" si="2"/>
        <v>PeruManufacture of motor vehicles, trailers and semi-trailers (C29)</v>
      </c>
      <c r="O17" s="11">
        <f>INDEX('Base de dados IHS'!$A$1:$V$676,MATCH($N17,'Base de dados IHS'!$C$1:$C$676,0),MATCH($O$1,'Base de dados IHS'!$A$1:$V$1,0))</f>
        <v>205342.67167914001</v>
      </c>
      <c r="P17" s="11">
        <f>INDEX('Base de dados IHS'!$A$1:$V$676,MATCH($N17,'Base de dados IHS'!$C$1:$C$676,0),MATCH($P$1,'Base de dados IHS'!$A$1:$V$1,0))</f>
        <v>235110.76142220001</v>
      </c>
      <c r="Q17" s="131">
        <f>INDEX('Base de dados IHS'!$A$1:$V$676,MATCH($N17,'Base de dados IHS'!$C$1:$C$676,0),MATCH($Q$1,'Base de dados IHS'!$A$1:$V$1,0))</f>
        <v>3.6435768532761571E-3</v>
      </c>
      <c r="R17" s="131">
        <f>INDEX('Base de dados IHS'!$A$1:$V$676,MATCH($N17,'Base de dados IHS'!$C$1:$C$676,0),MATCH($R$1,'Base de dados IHS'!$A$1:$V$1,0))</f>
        <v>3.9310220080072062E-3</v>
      </c>
      <c r="S17" s="131">
        <f>INDEX('Base de dados IHS'!$A$1:$V$676,MATCH($N17,'Base de dados IHS'!$C$1:$C$676,0),MATCH($S$1,'Base de dados IHS'!$A$1:$V$1,0))</f>
        <v>2.8744515473104904E-4</v>
      </c>
      <c r="T17" t="str">
        <f>IF(Q17&lt;'Cenario A ranking setor PIB'!$G$58,"N","Y")</f>
        <v>N</v>
      </c>
    </row>
    <row r="18" spans="1:20" hidden="1" x14ac:dyDescent="0.45">
      <c r="A18" s="293" t="s">
        <v>141</v>
      </c>
      <c r="B18" s="297" t="s">
        <v>7</v>
      </c>
      <c r="C18" s="297" t="s">
        <v>958</v>
      </c>
      <c r="D18" s="311">
        <v>100245.66066941</v>
      </c>
      <c r="E18" s="311">
        <v>164678.04492787999</v>
      </c>
      <c r="F18" s="302">
        <f t="shared" si="0"/>
        <v>0.64274487123143431</v>
      </c>
      <c r="G18" s="311">
        <v>140874.70855372</v>
      </c>
      <c r="H18" s="311">
        <v>164678.04492787999</v>
      </c>
      <c r="I18" s="302">
        <f t="shared" si="1"/>
        <v>0.16896813216889828</v>
      </c>
      <c r="J18" s="311">
        <v>206319.36607178001</v>
      </c>
      <c r="K18" s="311">
        <v>208478.18335219001</v>
      </c>
      <c r="L18" s="311">
        <v>206634.29143397001</v>
      </c>
      <c r="M18" s="312">
        <v>214758.70489025</v>
      </c>
      <c r="N18" t="str">
        <f t="shared" si="2"/>
        <v>United StatesManufacture of motor vehicles, trailers and semi-trailers (C29)</v>
      </c>
      <c r="O18" s="11">
        <f>INDEX('Base de dados IHS'!$A$1:$V$676,MATCH($N18,'Base de dados IHS'!$C$1:$C$676,0),MATCH($O$1,'Base de dados IHS'!$A$1:$V$1,0))</f>
        <v>19553083.060252</v>
      </c>
      <c r="P18" s="11">
        <f>INDEX('Base de dados IHS'!$A$1:$V$676,MATCH($N18,'Base de dados IHS'!$C$1:$C$676,0),MATCH($P$1,'Base de dados IHS'!$A$1:$V$1,0))</f>
        <v>22265681.170655001</v>
      </c>
      <c r="Q18" s="131">
        <f>INDEX('Base de dados IHS'!$A$1:$V$676,MATCH($N18,'Base de dados IHS'!$C$1:$C$676,0),MATCH($Q$1,'Base de dados IHS'!$A$1:$V$1,0))</f>
        <v>7.2047312497788988E-3</v>
      </c>
      <c r="R18" s="131">
        <f>INDEX('Base de dados IHS'!$A$1:$V$676,MATCH($N18,'Base de dados IHS'!$C$1:$C$676,0),MATCH($R$1,'Base de dados IHS'!$A$1:$V$1,0))</f>
        <v>7.3960479208207211E-3</v>
      </c>
      <c r="S18" s="131">
        <f>INDEX('Base de dados IHS'!$A$1:$V$676,MATCH($N18,'Base de dados IHS'!$C$1:$C$676,0),MATCH($S$1,'Base de dados IHS'!$A$1:$V$1,0))</f>
        <v>1.9131667104182234E-4</v>
      </c>
      <c r="T18" t="str">
        <f>IF(Q18&lt;'Cenario A ranking setor PIB'!$G$58,"N","Y")</f>
        <v>N</v>
      </c>
    </row>
    <row r="19" spans="1:20" hidden="1" x14ac:dyDescent="0.45">
      <c r="A19" s="293" t="s">
        <v>151</v>
      </c>
      <c r="B19" s="297" t="s">
        <v>7</v>
      </c>
      <c r="C19" s="297" t="s">
        <v>958</v>
      </c>
      <c r="D19" s="311">
        <v>212.14370722000001</v>
      </c>
      <c r="E19" s="311">
        <v>300.86129999000002</v>
      </c>
      <c r="F19" s="302">
        <f t="shared" si="0"/>
        <v>0.41819573124550402</v>
      </c>
      <c r="G19" s="311">
        <v>225.68971589</v>
      </c>
      <c r="H19" s="311">
        <v>300.86129999000002</v>
      </c>
      <c r="I19" s="302">
        <f t="shared" si="1"/>
        <v>0.33307492015559204</v>
      </c>
      <c r="J19" s="311">
        <v>323.38345114999998</v>
      </c>
      <c r="K19" s="311">
        <v>310.32811909999998</v>
      </c>
      <c r="L19" s="311">
        <v>314.48374274000003</v>
      </c>
      <c r="M19" s="312">
        <v>326.45907987999999</v>
      </c>
      <c r="N19" t="str">
        <f t="shared" si="2"/>
        <v>NorwayManufacture of motor vehicles, trailers and semi-trailers (C29)</v>
      </c>
      <c r="O19" s="11">
        <f>INDEX('Base de dados IHS'!$A$1:$V$676,MATCH($N19,'Base de dados IHS'!$C$1:$C$676,0),MATCH($O$1,'Base de dados IHS'!$A$1:$V$1,0))</f>
        <v>386512.35690163</v>
      </c>
      <c r="P19" s="11">
        <f>INDEX('Base de dados IHS'!$A$1:$V$676,MATCH($N19,'Base de dados IHS'!$C$1:$C$676,0),MATCH($P$1,'Base de dados IHS'!$A$1:$V$1,0))</f>
        <v>418559.21595058002</v>
      </c>
      <c r="Q19" s="131">
        <f>INDEX('Base de dados IHS'!$A$1:$V$676,MATCH($N19,'Base de dados IHS'!$C$1:$C$676,0),MATCH($Q$1,'Base de dados IHS'!$A$1:$V$1,0))</f>
        <v>5.839133260814209E-4</v>
      </c>
      <c r="R19" s="131">
        <f>INDEX('Base de dados IHS'!$A$1:$V$676,MATCH($N19,'Base de dados IHS'!$C$1:$C$676,0),MATCH($R$1,'Base de dados IHS'!$A$1:$V$1,0))</f>
        <v>7.1880223520278004E-4</v>
      </c>
      <c r="S19" s="131">
        <f>INDEX('Base de dados IHS'!$A$1:$V$676,MATCH($N19,'Base de dados IHS'!$C$1:$C$676,0),MATCH($S$1,'Base de dados IHS'!$A$1:$V$1,0))</f>
        <v>1.3488890912135914E-4</v>
      </c>
      <c r="T19" t="str">
        <f>IF(Q19&lt;'Cenario A ranking setor PIB'!$G$58,"N","Y")</f>
        <v>N</v>
      </c>
    </row>
    <row r="20" spans="1:20" x14ac:dyDescent="0.45">
      <c r="A20" s="293" t="s">
        <v>112</v>
      </c>
      <c r="B20" s="297" t="s">
        <v>7</v>
      </c>
      <c r="C20" s="297" t="s">
        <v>958</v>
      </c>
      <c r="D20" s="311">
        <v>5224.8215819799998</v>
      </c>
      <c r="E20" s="311">
        <v>8572.7438196200001</v>
      </c>
      <c r="F20" s="302">
        <f t="shared" si="0"/>
        <v>0.64077254794435889</v>
      </c>
      <c r="G20" s="311">
        <v>6774.2761643699996</v>
      </c>
      <c r="H20" s="311">
        <v>8572.7438196200001</v>
      </c>
      <c r="I20" s="302">
        <f t="shared" si="1"/>
        <v>0.26548484467008082</v>
      </c>
      <c r="J20" s="311">
        <v>12127.32386586</v>
      </c>
      <c r="K20" s="311">
        <v>14407.32948194</v>
      </c>
      <c r="L20" s="311">
        <v>14046.354058639999</v>
      </c>
      <c r="M20" s="312">
        <v>13266.94838863</v>
      </c>
      <c r="N20" t="str">
        <f t="shared" si="2"/>
        <v>PolandManufacture of motor vehicles, trailers and semi-trailers (C29)</v>
      </c>
      <c r="O20" s="11">
        <f>INDEX('Base de dados IHS'!$A$1:$V$676,MATCH($N20,'Base de dados IHS'!$C$1:$C$676,0),MATCH($O$1,'Base de dados IHS'!$A$1:$V$1,0))</f>
        <v>496555.53410177003</v>
      </c>
      <c r="P20" s="11">
        <f>INDEX('Base de dados IHS'!$A$1:$V$676,MATCH($N20,'Base de dados IHS'!$C$1:$C$676,0),MATCH($P$1,'Base de dados IHS'!$A$1:$V$1,0))</f>
        <v>623108.57565016998</v>
      </c>
      <c r="Q20" s="131">
        <f>INDEX('Base de dados IHS'!$A$1:$V$676,MATCH($N20,'Base de dados IHS'!$C$1:$C$676,0),MATCH($Q$1,'Base de dados IHS'!$A$1:$V$1,0))</f>
        <v>1.3642534820650289E-2</v>
      </c>
      <c r="R20" s="131">
        <f>INDEX('Base de dados IHS'!$A$1:$V$676,MATCH($N20,'Base de dados IHS'!$C$1:$C$676,0),MATCH($R$1,'Base de dados IHS'!$A$1:$V$1,0))</f>
        <v>1.3758025735201839E-2</v>
      </c>
      <c r="S20" s="131">
        <f>INDEX('Base de dados IHS'!$A$1:$V$676,MATCH($N20,'Base de dados IHS'!$C$1:$C$676,0),MATCH($S$1,'Base de dados IHS'!$A$1:$V$1,0))</f>
        <v>1.1549091455155015E-4</v>
      </c>
      <c r="T20" t="str">
        <f>IF(Q20&lt;'Cenario A ranking setor PIB'!$G$58,"N","Y")</f>
        <v>Y</v>
      </c>
    </row>
    <row r="21" spans="1:20" hidden="1" x14ac:dyDescent="0.45">
      <c r="A21" s="293" t="s">
        <v>156</v>
      </c>
      <c r="B21" s="297" t="s">
        <v>7</v>
      </c>
      <c r="C21" s="297" t="s">
        <v>958</v>
      </c>
      <c r="D21" s="311">
        <v>123.47970855</v>
      </c>
      <c r="E21" s="311">
        <v>73.937970320000005</v>
      </c>
      <c r="F21" s="302">
        <f t="shared" si="0"/>
        <v>-0.40121359866944706</v>
      </c>
      <c r="G21" s="311">
        <v>50.040793309999998</v>
      </c>
      <c r="H21" s="311">
        <v>73.937970320000005</v>
      </c>
      <c r="I21" s="302">
        <f t="shared" si="1"/>
        <v>0.47755392009791486</v>
      </c>
      <c r="J21" s="311">
        <v>82.20494248</v>
      </c>
      <c r="K21" s="311">
        <v>83.513001790000004</v>
      </c>
      <c r="L21" s="311">
        <v>79.812259370000007</v>
      </c>
      <c r="M21" s="312">
        <v>83.285058460000002</v>
      </c>
      <c r="N21" t="str">
        <f t="shared" si="2"/>
        <v>GreeceManufacture of motor vehicles, trailers and semi-trailers (C29)</v>
      </c>
      <c r="O21" s="11">
        <f>INDEX('Base de dados IHS'!$A$1:$V$676,MATCH($N21,'Base de dados IHS'!$C$1:$C$676,0),MATCH($O$1,'Base de dados IHS'!$A$1:$V$1,0))</f>
        <v>196841.83448053</v>
      </c>
      <c r="P21" s="11">
        <f>INDEX('Base de dados IHS'!$A$1:$V$676,MATCH($N21,'Base de dados IHS'!$C$1:$C$676,0),MATCH($P$1,'Base de dados IHS'!$A$1:$V$1,0))</f>
        <v>201121.93838619001</v>
      </c>
      <c r="Q21" s="131">
        <f>INDEX('Base de dados IHS'!$A$1:$V$676,MATCH($N21,'Base de dados IHS'!$C$1:$C$676,0),MATCH($Q$1,'Base de dados IHS'!$A$1:$V$1,0))</f>
        <v>2.5421828363903827E-4</v>
      </c>
      <c r="R21" s="131">
        <f>INDEX('Base de dados IHS'!$A$1:$V$676,MATCH($N21,'Base de dados IHS'!$C$1:$C$676,0),MATCH($R$1,'Base de dados IHS'!$A$1:$V$1,0))</f>
        <v>3.6762757416361963E-4</v>
      </c>
      <c r="S21" s="131">
        <f>INDEX('Base de dados IHS'!$A$1:$V$676,MATCH($N21,'Base de dados IHS'!$C$1:$C$676,0),MATCH($S$1,'Base de dados IHS'!$A$1:$V$1,0))</f>
        <v>1.1340929052458136E-4</v>
      </c>
      <c r="T21" t="str">
        <f>IF(Q21&lt;'Cenario A ranking setor PIB'!$G$58,"N","Y")</f>
        <v>N</v>
      </c>
    </row>
    <row r="22" spans="1:20" hidden="1" x14ac:dyDescent="0.45">
      <c r="A22" s="293" t="s">
        <v>146</v>
      </c>
      <c r="B22" s="297" t="s">
        <v>7</v>
      </c>
      <c r="C22" s="297" t="s">
        <v>958</v>
      </c>
      <c r="D22" s="311">
        <v>467.00509657999999</v>
      </c>
      <c r="E22" s="311">
        <v>798.25834529999997</v>
      </c>
      <c r="F22" s="302">
        <f t="shared" si="0"/>
        <v>0.70931399067345047</v>
      </c>
      <c r="G22" s="311">
        <v>588.57427213999995</v>
      </c>
      <c r="H22" s="311">
        <v>798.25834529999997</v>
      </c>
      <c r="I22" s="302">
        <f t="shared" si="1"/>
        <v>0.356257626412396</v>
      </c>
      <c r="J22" s="311">
        <v>772.06448581999996</v>
      </c>
      <c r="K22" s="311">
        <v>936.19036167000002</v>
      </c>
      <c r="L22" s="311">
        <v>920.53129183999999</v>
      </c>
      <c r="M22" s="312">
        <v>971.59024396999996</v>
      </c>
      <c r="N22" t="str">
        <f t="shared" si="2"/>
        <v>EgyptManufacture of motor vehicles, trailers and semi-trailers (C29)</v>
      </c>
      <c r="O22" s="11">
        <f>INDEX('Base de dados IHS'!$A$1:$V$676,MATCH($N22,'Base de dados IHS'!$C$1:$C$676,0),MATCH($O$1,'Base de dados IHS'!$A$1:$V$1,0))</f>
        <v>276522.47435759002</v>
      </c>
      <c r="P22" s="11">
        <f>INDEX('Base de dados IHS'!$A$1:$V$676,MATCH($N22,'Base de dados IHS'!$C$1:$C$676,0),MATCH($P$1,'Base de dados IHS'!$A$1:$V$1,0))</f>
        <v>357883.01385108999</v>
      </c>
      <c r="Q22" s="131">
        <f>INDEX('Base de dados IHS'!$A$1:$V$676,MATCH($N22,'Base de dados IHS'!$C$1:$C$676,0),MATCH($Q$1,'Base de dados IHS'!$A$1:$V$1,0))</f>
        <v>2.1284862053522441E-3</v>
      </c>
      <c r="R22" s="131">
        <f>INDEX('Base de dados IHS'!$A$1:$V$676,MATCH($N22,'Base de dados IHS'!$C$1:$C$676,0),MATCH($R$1,'Base de dados IHS'!$A$1:$V$1,0))</f>
        <v>2.2305007904961476E-3</v>
      </c>
      <c r="S22" s="131">
        <f>INDEX('Base de dados IHS'!$A$1:$V$676,MATCH($N22,'Base de dados IHS'!$C$1:$C$676,0),MATCH($S$1,'Base de dados IHS'!$A$1:$V$1,0))</f>
        <v>1.0201458514390348E-4</v>
      </c>
      <c r="T22" t="str">
        <f>IF(Q22&lt;'Cenario A ranking setor PIB'!$G$58,"N","Y")</f>
        <v>N</v>
      </c>
    </row>
    <row r="23" spans="1:20" hidden="1" x14ac:dyDescent="0.45">
      <c r="A23" s="293" t="s">
        <v>168</v>
      </c>
      <c r="B23" s="297" t="s">
        <v>7</v>
      </c>
      <c r="C23" s="297" t="s">
        <v>958</v>
      </c>
      <c r="D23" s="311">
        <v>71.035460599999993</v>
      </c>
      <c r="E23" s="311">
        <v>84.379999990000002</v>
      </c>
      <c r="F23" s="302">
        <f t="shared" si="0"/>
        <v>0.18785743454445925</v>
      </c>
      <c r="G23" s="311">
        <v>77.970816639999995</v>
      </c>
      <c r="H23" s="311">
        <v>84.379999990000002</v>
      </c>
      <c r="I23" s="302">
        <f t="shared" si="1"/>
        <v>8.2199771994077242E-2</v>
      </c>
      <c r="J23" s="311">
        <v>102.94478018</v>
      </c>
      <c r="K23" s="311">
        <v>115.69274068999999</v>
      </c>
      <c r="L23" s="311">
        <v>125.34573082999999</v>
      </c>
      <c r="M23" s="312">
        <v>149.14573815</v>
      </c>
      <c r="N23" t="str">
        <f t="shared" si="2"/>
        <v>TunisiaManufacture of motor vehicles, trailers and semi-trailers (C29)</v>
      </c>
      <c r="O23" s="11">
        <f>INDEX('Base de dados IHS'!$A$1:$V$676,MATCH($N23,'Base de dados IHS'!$C$1:$C$676,0),MATCH($O$1,'Base de dados IHS'!$A$1:$V$1,0))</f>
        <v>38884.65391288</v>
      </c>
      <c r="P23" s="11">
        <f>INDEX('Base de dados IHS'!$A$1:$V$676,MATCH($N23,'Base de dados IHS'!$C$1:$C$676,0),MATCH($P$1,'Base de dados IHS'!$A$1:$V$1,0))</f>
        <v>40072.692608359997</v>
      </c>
      <c r="Q23" s="131">
        <f>INDEX('Base de dados IHS'!$A$1:$V$676,MATCH($N23,'Base de dados IHS'!$C$1:$C$676,0),MATCH($Q$1,'Base de dados IHS'!$A$1:$V$1,0))</f>
        <v>2.0051822195638275E-3</v>
      </c>
      <c r="R23" s="131">
        <f>INDEX('Base de dados IHS'!$A$1:$V$676,MATCH($N23,'Base de dados IHS'!$C$1:$C$676,0),MATCH($R$1,'Base de dados IHS'!$A$1:$V$1,0))</f>
        <v>2.1056733275865913E-3</v>
      </c>
      <c r="S23" s="131">
        <f>INDEX('Base de dados IHS'!$A$1:$V$676,MATCH($N23,'Base de dados IHS'!$C$1:$C$676,0),MATCH($S$1,'Base de dados IHS'!$A$1:$V$1,0))</f>
        <v>1.0049110802276377E-4</v>
      </c>
      <c r="T23" t="str">
        <f>IF(Q23&lt;'Cenario A ranking setor PIB'!$G$58,"N","Y")</f>
        <v>N</v>
      </c>
    </row>
    <row r="24" spans="1:20" hidden="1" x14ac:dyDescent="0.45">
      <c r="A24" s="293" t="s">
        <v>150</v>
      </c>
      <c r="B24" s="297" t="s">
        <v>7</v>
      </c>
      <c r="C24" s="297" t="s">
        <v>958</v>
      </c>
      <c r="D24" s="311">
        <v>791.15104212000006</v>
      </c>
      <c r="E24" s="311">
        <v>1343.9659158699999</v>
      </c>
      <c r="F24" s="302">
        <f t="shared" si="0"/>
        <v>0.69874757703491719</v>
      </c>
      <c r="G24" s="311">
        <v>1071.39473959</v>
      </c>
      <c r="H24" s="311">
        <v>1343.9659158699999</v>
      </c>
      <c r="I24" s="302">
        <f t="shared" si="1"/>
        <v>0.25440779780597689</v>
      </c>
      <c r="J24" s="311">
        <v>1542.4943736600001</v>
      </c>
      <c r="K24" s="311">
        <v>1687.2258198899999</v>
      </c>
      <c r="L24" s="311">
        <v>1861.13905845</v>
      </c>
      <c r="M24" s="312">
        <v>2329.5859323899999</v>
      </c>
      <c r="N24" t="str">
        <f t="shared" si="2"/>
        <v>PhilippinesManufacture of motor vehicles, trailers and semi-trailers (C29)</v>
      </c>
      <c r="O24" s="11">
        <f>INDEX('Base de dados IHS'!$A$1:$V$676,MATCH($N24,'Base de dados IHS'!$C$1:$C$676,0),MATCH($O$1,'Base de dados IHS'!$A$1:$V$1,0))</f>
        <v>291518.00825125998</v>
      </c>
      <c r="P24" s="11">
        <f>INDEX('Base de dados IHS'!$A$1:$V$676,MATCH($N24,'Base de dados IHS'!$C$1:$C$676,0),MATCH($P$1,'Base de dados IHS'!$A$1:$V$1,0))</f>
        <v>360513.15606205998</v>
      </c>
      <c r="Q24" s="131">
        <f>INDEX('Base de dados IHS'!$A$1:$V$676,MATCH($N24,'Base de dados IHS'!$C$1:$C$676,0),MATCH($Q$1,'Base de dados IHS'!$A$1:$V$1,0))</f>
        <v>3.6752266044112192E-3</v>
      </c>
      <c r="R24" s="131">
        <f>INDEX('Base de dados IHS'!$A$1:$V$676,MATCH($N24,'Base de dados IHS'!$C$1:$C$676,0),MATCH($R$1,'Base de dados IHS'!$A$1:$V$1,0))</f>
        <v>3.7279247463541799E-3</v>
      </c>
      <c r="S24" s="131">
        <f>INDEX('Base de dados IHS'!$A$1:$V$676,MATCH($N24,'Base de dados IHS'!$C$1:$C$676,0),MATCH($S$1,'Base de dados IHS'!$A$1:$V$1,0))</f>
        <v>5.2698141942960752E-5</v>
      </c>
      <c r="T24" t="str">
        <f>IF(Q24&lt;'Cenario A ranking setor PIB'!$G$58,"N","Y")</f>
        <v>N</v>
      </c>
    </row>
    <row r="25" spans="1:20" hidden="1" x14ac:dyDescent="0.45">
      <c r="A25" s="293" t="s">
        <v>105</v>
      </c>
      <c r="B25" s="297" t="s">
        <v>7</v>
      </c>
      <c r="C25" s="297" t="s">
        <v>958</v>
      </c>
      <c r="D25" s="311">
        <v>524.13050399999997</v>
      </c>
      <c r="E25" s="311">
        <v>718.38025944000003</v>
      </c>
      <c r="F25" s="302">
        <f t="shared" si="0"/>
        <v>0.37061333762783644</v>
      </c>
      <c r="G25" s="311">
        <v>662.94607931999997</v>
      </c>
      <c r="H25" s="311">
        <v>718.38025944000003</v>
      </c>
      <c r="I25" s="302">
        <f t="shared" si="1"/>
        <v>8.3617931909123477E-2</v>
      </c>
      <c r="J25" s="311">
        <v>862.47538314999997</v>
      </c>
      <c r="K25" s="311">
        <v>967.03252286999998</v>
      </c>
      <c r="L25" s="311">
        <v>1084.36964169</v>
      </c>
      <c r="M25" s="312">
        <v>1330.79773727</v>
      </c>
      <c r="N25" t="str">
        <f t="shared" si="2"/>
        <v>Saudi ArabiaManufacture of motor vehicles, trailers and semi-trailers (C29)</v>
      </c>
      <c r="O25" s="11">
        <f>INDEX('Base de dados IHS'!$A$1:$V$676,MATCH($N25,'Base de dados IHS'!$C$1:$C$676,0),MATCH($O$1,'Base de dados IHS'!$A$1:$V$1,0))</f>
        <v>791157.39281293005</v>
      </c>
      <c r="P25" s="11">
        <f>INDEX('Base de dados IHS'!$A$1:$V$676,MATCH($N25,'Base de dados IHS'!$C$1:$C$676,0),MATCH($P$1,'Base de dados IHS'!$A$1:$V$1,0))</f>
        <v>836861.61444072996</v>
      </c>
      <c r="Q25" s="131">
        <f>INDEX('Base de dados IHS'!$A$1:$V$676,MATCH($N25,'Base de dados IHS'!$C$1:$C$676,0),MATCH($Q$1,'Base de dados IHS'!$A$1:$V$1,0))</f>
        <v>8.3794461802716696E-4</v>
      </c>
      <c r="R25" s="131">
        <f>INDEX('Base de dados IHS'!$A$1:$V$676,MATCH($N25,'Base de dados IHS'!$C$1:$C$676,0),MATCH($R$1,'Base de dados IHS'!$A$1:$V$1,0))</f>
        <v>8.5842180719459768E-4</v>
      </c>
      <c r="S25" s="131">
        <f>INDEX('Base de dados IHS'!$A$1:$V$676,MATCH($N25,'Base de dados IHS'!$C$1:$C$676,0),MATCH($S$1,'Base de dados IHS'!$A$1:$V$1,0))</f>
        <v>2.0477189167430717E-5</v>
      </c>
      <c r="T25" t="str">
        <f>IF(Q25&lt;'Cenario A ranking setor PIB'!$G$58,"N","Y")</f>
        <v>N</v>
      </c>
    </row>
    <row r="26" spans="1:20" hidden="1" x14ac:dyDescent="0.45">
      <c r="A26" s="293" t="s">
        <v>153</v>
      </c>
      <c r="B26" s="297" t="s">
        <v>7</v>
      </c>
      <c r="C26" s="297" t="s">
        <v>958</v>
      </c>
      <c r="D26" s="311">
        <v>34.558477770000003</v>
      </c>
      <c r="E26" s="311">
        <v>58.957061359999997</v>
      </c>
      <c r="F26" s="302">
        <f t="shared" si="0"/>
        <v>0.70600863129394686</v>
      </c>
      <c r="G26" s="311">
        <v>54.632744240000001</v>
      </c>
      <c r="H26" s="311">
        <v>58.957061359999997</v>
      </c>
      <c r="I26" s="302">
        <f t="shared" si="1"/>
        <v>7.915247861252217E-2</v>
      </c>
      <c r="J26" s="311">
        <v>70.480881170000004</v>
      </c>
      <c r="K26" s="311">
        <v>79.209742239999997</v>
      </c>
      <c r="L26" s="311">
        <v>83.768441129999999</v>
      </c>
      <c r="M26" s="312">
        <v>95.001807569999997</v>
      </c>
      <c r="N26" t="str">
        <f t="shared" si="2"/>
        <v>OmanManufacture of motor vehicles, trailers and semi-trailers (C29)</v>
      </c>
      <c r="O26" s="11">
        <f>INDEX('Base de dados IHS'!$A$1:$V$676,MATCH($N26,'Base de dados IHS'!$C$1:$C$676,0),MATCH($O$1,'Base de dados IHS'!$A$1:$V$1,0))</f>
        <v>83456.391863790006</v>
      </c>
      <c r="P26" s="11">
        <f>INDEX('Base de dados IHS'!$A$1:$V$676,MATCH($N26,'Base de dados IHS'!$C$1:$C$676,0),MATCH($P$1,'Base de dados IHS'!$A$1:$V$1,0))</f>
        <v>87715.792114070005</v>
      </c>
      <c r="Q26" s="131">
        <f>INDEX('Base de dados IHS'!$A$1:$V$676,MATCH($N26,'Base de dados IHS'!$C$1:$C$676,0),MATCH($Q$1,'Base de dados IHS'!$A$1:$V$1,0))</f>
        <v>6.5462624275881278E-4</v>
      </c>
      <c r="R26" s="131">
        <f>INDEX('Base de dados IHS'!$A$1:$V$676,MATCH($N26,'Base de dados IHS'!$C$1:$C$676,0),MATCH($R$1,'Base de dados IHS'!$A$1:$V$1,0))</f>
        <v>6.7213736476698838E-4</v>
      </c>
      <c r="S26" s="131">
        <f>INDEX('Base de dados IHS'!$A$1:$V$676,MATCH($N26,'Base de dados IHS'!$C$1:$C$676,0),MATCH($S$1,'Base de dados IHS'!$A$1:$V$1,0))</f>
        <v>1.7511122008175592E-5</v>
      </c>
      <c r="T26" t="str">
        <f>IF(Q26&lt;'Cenario A ranking setor PIB'!$G$58,"N","Y")</f>
        <v>N</v>
      </c>
    </row>
    <row r="27" spans="1:20" hidden="1" x14ac:dyDescent="0.45">
      <c r="A27" s="293" t="s">
        <v>165</v>
      </c>
      <c r="B27" s="297" t="s">
        <v>7</v>
      </c>
      <c r="C27" s="297" t="s">
        <v>958</v>
      </c>
      <c r="D27" s="311">
        <v>111.49857708</v>
      </c>
      <c r="E27" s="311">
        <v>90.262877720000006</v>
      </c>
      <c r="F27" s="302">
        <f t="shared" si="0"/>
        <v>-0.19045713332075465</v>
      </c>
      <c r="G27" s="311">
        <v>89.89985283</v>
      </c>
      <c r="H27" s="311">
        <v>90.262877720000006</v>
      </c>
      <c r="I27" s="302">
        <f t="shared" si="1"/>
        <v>4.0381032735001821E-3</v>
      </c>
      <c r="J27" s="311">
        <v>127.89255813</v>
      </c>
      <c r="K27" s="311">
        <v>131.01636848000001</v>
      </c>
      <c r="L27" s="311">
        <v>135.59799387000001</v>
      </c>
      <c r="M27" s="312">
        <v>152.11239737</v>
      </c>
      <c r="N27" t="str">
        <f t="shared" si="2"/>
        <v>EcuadorManufacture of motor vehicles, trailers and semi-trailers (C29)</v>
      </c>
      <c r="O27" s="11">
        <f>INDEX('Base de dados IHS'!$A$1:$V$676,MATCH($N27,'Base de dados IHS'!$C$1:$C$676,0),MATCH($O$1,'Base de dados IHS'!$A$1:$V$1,0))</f>
        <v>105544.34131757999</v>
      </c>
      <c r="P27" s="11">
        <f>INDEX('Base de dados IHS'!$A$1:$V$676,MATCH($N27,'Base de dados IHS'!$C$1:$C$676,0),MATCH($P$1,'Base de dados IHS'!$A$1:$V$1,0))</f>
        <v>103911.06087433999</v>
      </c>
      <c r="Q27" s="131">
        <f>INDEX('Base de dados IHS'!$A$1:$V$676,MATCH($N27,'Base de dados IHS'!$C$1:$C$676,0),MATCH($Q$1,'Base de dados IHS'!$A$1:$V$1,0))</f>
        <v>8.517733088076587E-4</v>
      </c>
      <c r="R27" s="131">
        <f>INDEX('Base de dados IHS'!$A$1:$V$676,MATCH($N27,'Base de dados IHS'!$C$1:$C$676,0),MATCH($R$1,'Base de dados IHS'!$A$1:$V$1,0))</f>
        <v>8.6865514566495685E-4</v>
      </c>
      <c r="S27" s="131">
        <f>INDEX('Base de dados IHS'!$A$1:$V$676,MATCH($N27,'Base de dados IHS'!$C$1:$C$676,0),MATCH($S$1,'Base de dados IHS'!$A$1:$V$1,0))</f>
        <v>1.6881836857298143E-5</v>
      </c>
      <c r="T27" t="str">
        <f>IF(Q27&lt;'Cenario A ranking setor PIB'!$G$58,"N","Y")</f>
        <v>N</v>
      </c>
    </row>
    <row r="28" spans="1:20" hidden="1" x14ac:dyDescent="0.45">
      <c r="A28" s="293" t="s">
        <v>124</v>
      </c>
      <c r="B28" s="297" t="s">
        <v>7</v>
      </c>
      <c r="C28" s="297" t="s">
        <v>958</v>
      </c>
      <c r="D28" s="311">
        <v>12.746813250000001</v>
      </c>
      <c r="E28" s="311">
        <v>36.363447489999999</v>
      </c>
      <c r="F28" s="302">
        <f t="shared" si="0"/>
        <v>1.8527481164753077</v>
      </c>
      <c r="G28" s="311">
        <v>20.723887179999998</v>
      </c>
      <c r="H28" s="311">
        <v>36.363447489999999</v>
      </c>
      <c r="I28" s="302">
        <f t="shared" si="1"/>
        <v>0.75466345546858937</v>
      </c>
      <c r="J28" s="311">
        <v>60.187153909999999</v>
      </c>
      <c r="K28" s="311">
        <v>78.339277109999998</v>
      </c>
      <c r="L28" s="311">
        <v>93.51758882</v>
      </c>
      <c r="M28" s="312">
        <v>135.60019462</v>
      </c>
      <c r="N28" t="str">
        <f t="shared" si="2"/>
        <v>BangladeshManufacture of motor vehicles, trailers and semi-trailers (C29)</v>
      </c>
      <c r="O28" s="11">
        <f>INDEX('Base de dados IHS'!$A$1:$V$676,MATCH($N28,'Base de dados IHS'!$C$1:$C$676,0),MATCH($O$1,'Base de dados IHS'!$A$1:$V$1,0))</f>
        <v>264392.25455249997</v>
      </c>
      <c r="P28" s="11">
        <f>INDEX('Base de dados IHS'!$A$1:$V$676,MATCH($N28,'Base de dados IHS'!$C$1:$C$676,0),MATCH($P$1,'Base de dados IHS'!$A$1:$V$1,0))</f>
        <v>386628.84638325998</v>
      </c>
      <c r="Q28" s="131">
        <f>INDEX('Base de dados IHS'!$A$1:$V$676,MATCH($N28,'Base de dados IHS'!$C$1:$C$676,0),MATCH($Q$1,'Base de dados IHS'!$A$1:$V$1,0))</f>
        <v>7.8383110031254288E-5</v>
      </c>
      <c r="R28" s="131">
        <f>INDEX('Base de dados IHS'!$A$1:$V$676,MATCH($N28,'Base de dados IHS'!$C$1:$C$676,0),MATCH($R$1,'Base de dados IHS'!$A$1:$V$1,0))</f>
        <v>9.4052598067019045E-5</v>
      </c>
      <c r="S28" s="131">
        <f>INDEX('Base de dados IHS'!$A$1:$V$676,MATCH($N28,'Base de dados IHS'!$C$1:$C$676,0),MATCH($S$1,'Base de dados IHS'!$A$1:$V$1,0))</f>
        <v>1.5669488035764757E-5</v>
      </c>
      <c r="T28" t="str">
        <f>IF(Q28&lt;'Cenario A ranking setor PIB'!$G$58,"N","Y")</f>
        <v>N</v>
      </c>
    </row>
    <row r="29" spans="1:20" hidden="1" x14ac:dyDescent="0.45">
      <c r="A29" s="293" t="s">
        <v>149</v>
      </c>
      <c r="B29" s="297" t="s">
        <v>7</v>
      </c>
      <c r="C29" s="297" t="s">
        <v>958</v>
      </c>
      <c r="D29" s="311">
        <v>521.29185510000002</v>
      </c>
      <c r="E29" s="311">
        <v>497.84344338</v>
      </c>
      <c r="F29" s="302">
        <f t="shared" si="0"/>
        <v>-4.4981350639944129E-2</v>
      </c>
      <c r="G29" s="311">
        <v>445.4406912</v>
      </c>
      <c r="H29" s="311">
        <v>497.84344338</v>
      </c>
      <c r="I29" s="302">
        <f t="shared" si="1"/>
        <v>0.11764249026919615</v>
      </c>
      <c r="J29" s="311">
        <v>330.69432230000001</v>
      </c>
      <c r="K29" s="311">
        <v>374.63263001000001</v>
      </c>
      <c r="L29" s="311">
        <v>398.96571394</v>
      </c>
      <c r="M29" s="312">
        <v>409.11505252000001</v>
      </c>
      <c r="N29" t="str">
        <f t="shared" si="2"/>
        <v>UkraineManufacture of motor vehicles, trailers and semi-trailers (C29)</v>
      </c>
      <c r="O29" s="11">
        <f>INDEX('Base de dados IHS'!$A$1:$V$676,MATCH($N29,'Base de dados IHS'!$C$1:$C$676,0),MATCH($O$1,'Base de dados IHS'!$A$1:$V$1,0))</f>
        <v>137743.94890503999</v>
      </c>
      <c r="P29" s="11">
        <f>INDEX('Base de dados IHS'!$A$1:$V$676,MATCH($N29,'Base de dados IHS'!$C$1:$C$676,0),MATCH($P$1,'Base de dados IHS'!$A$1:$V$1,0))</f>
        <v>153275.23415388001</v>
      </c>
      <c r="Q29" s="131">
        <f>INDEX('Base de dados IHS'!$A$1:$V$676,MATCH($N29,'Base de dados IHS'!$C$1:$C$676,0),MATCH($Q$1,'Base de dados IHS'!$A$1:$V$1,0))</f>
        <v>3.2338312843570695E-3</v>
      </c>
      <c r="R29" s="131">
        <f>INDEX('Base de dados IHS'!$A$1:$V$676,MATCH($N29,'Base de dados IHS'!$C$1:$C$676,0),MATCH($R$1,'Base de dados IHS'!$A$1:$V$1,0))</f>
        <v>3.2480357712596428E-3</v>
      </c>
      <c r="S29" s="131">
        <f>INDEX('Base de dados IHS'!$A$1:$V$676,MATCH($N29,'Base de dados IHS'!$C$1:$C$676,0),MATCH($S$1,'Base de dados IHS'!$A$1:$V$1,0))</f>
        <v>1.4204486902573248E-5</v>
      </c>
      <c r="T29" t="str">
        <f>IF(Q29&lt;'Cenario A ranking setor PIB'!$G$58,"N","Y")</f>
        <v>N</v>
      </c>
    </row>
    <row r="30" spans="1:20" hidden="1" x14ac:dyDescent="0.45">
      <c r="A30" s="293" t="s">
        <v>171</v>
      </c>
      <c r="B30" s="297" t="s">
        <v>7</v>
      </c>
      <c r="C30" s="297" t="s">
        <v>958</v>
      </c>
      <c r="D30" s="311">
        <v>3.35426022</v>
      </c>
      <c r="E30" s="311">
        <v>5.50337779</v>
      </c>
      <c r="F30" s="302">
        <f t="shared" si="0"/>
        <v>0.64071283354396402</v>
      </c>
      <c r="G30" s="311">
        <v>4.3386070999999999</v>
      </c>
      <c r="H30" s="311">
        <v>5.50337779</v>
      </c>
      <c r="I30" s="302">
        <f t="shared" si="1"/>
        <v>0.26846650622039503</v>
      </c>
      <c r="J30" s="311">
        <v>6.7880805400000002</v>
      </c>
      <c r="K30" s="311">
        <v>8.0600729999999992</v>
      </c>
      <c r="L30" s="311">
        <v>8.9715902700000001</v>
      </c>
      <c r="M30" s="312">
        <v>11.314120620000001</v>
      </c>
      <c r="N30" t="str">
        <f t="shared" si="2"/>
        <v>CameroonManufacture of motor vehicles, trailers and semi-trailers (C29)</v>
      </c>
      <c r="O30" s="11">
        <f>INDEX('Base de dados IHS'!$A$1:$V$676,MATCH($N30,'Base de dados IHS'!$C$1:$C$676,0),MATCH($O$1,'Base de dados IHS'!$A$1:$V$1,0))</f>
        <v>34069.891642009999</v>
      </c>
      <c r="P30" s="11">
        <f>INDEX('Base de dados IHS'!$A$1:$V$676,MATCH($N30,'Base de dados IHS'!$C$1:$C$676,0),MATCH($P$1,'Base de dados IHS'!$A$1:$V$1,0))</f>
        <v>41316.84413338</v>
      </c>
      <c r="Q30" s="131">
        <f>INDEX('Base de dados IHS'!$A$1:$V$676,MATCH($N30,'Base de dados IHS'!$C$1:$C$676,0),MATCH($Q$1,'Base de dados IHS'!$A$1:$V$1,0))</f>
        <v>1.2734431754547366E-4</v>
      </c>
      <c r="R30" s="131">
        <f>INDEX('Base de dados IHS'!$A$1:$V$676,MATCH($N30,'Base de dados IHS'!$C$1:$C$676,0),MATCH($R$1,'Base de dados IHS'!$A$1:$V$1,0))</f>
        <v>1.3319937438188327E-4</v>
      </c>
      <c r="S30" s="131">
        <f>INDEX('Base de dados IHS'!$A$1:$V$676,MATCH($N30,'Base de dados IHS'!$C$1:$C$676,0),MATCH($S$1,'Base de dados IHS'!$A$1:$V$1,0))</f>
        <v>5.8550568364096063E-6</v>
      </c>
      <c r="T30" t="str">
        <f>IF(Q30&lt;'Cenario A ranking setor PIB'!$G$58,"N","Y")</f>
        <v>N</v>
      </c>
    </row>
    <row r="31" spans="1:20" hidden="1" x14ac:dyDescent="0.45">
      <c r="A31" s="293" t="s">
        <v>155</v>
      </c>
      <c r="B31" s="297" t="s">
        <v>7</v>
      </c>
      <c r="C31" s="297" t="s">
        <v>958</v>
      </c>
      <c r="D31" s="311">
        <v>4.1405859600000001</v>
      </c>
      <c r="E31" s="311">
        <v>6.1737603300000004</v>
      </c>
      <c r="F31" s="302">
        <f t="shared" si="0"/>
        <v>0.49103542098664699</v>
      </c>
      <c r="G31" s="311">
        <v>5.6689165499999996</v>
      </c>
      <c r="H31" s="311">
        <v>6.1737603300000004</v>
      </c>
      <c r="I31" s="302">
        <f t="shared" si="1"/>
        <v>8.9054720694380363E-2</v>
      </c>
      <c r="J31" s="311">
        <v>7.1744027299999997</v>
      </c>
      <c r="K31" s="311">
        <v>8.2258188400000005</v>
      </c>
      <c r="L31" s="311">
        <v>8.8960056400000003</v>
      </c>
      <c r="M31" s="312">
        <v>10.10827632</v>
      </c>
      <c r="N31" t="str">
        <f t="shared" si="2"/>
        <v>QatarManufacture of motor vehicles, trailers and semi-trailers (C29)</v>
      </c>
      <c r="O31" s="11">
        <f>INDEX('Base de dados IHS'!$A$1:$V$676,MATCH($N31,'Base de dados IHS'!$C$1:$C$676,0),MATCH($O$1,'Base de dados IHS'!$A$1:$V$1,0))</f>
        <v>170576.82347613</v>
      </c>
      <c r="P31" s="11">
        <f>INDEX('Base de dados IHS'!$A$1:$V$676,MATCH($N31,'Base de dados IHS'!$C$1:$C$676,0),MATCH($P$1,'Base de dados IHS'!$A$1:$V$1,0))</f>
        <v>172715.39534024999</v>
      </c>
      <c r="Q31" s="131">
        <f>INDEX('Base de dados IHS'!$A$1:$V$676,MATCH($N31,'Base de dados IHS'!$C$1:$C$676,0),MATCH($Q$1,'Base de dados IHS'!$A$1:$V$1,0))</f>
        <v>3.3233803013064611E-5</v>
      </c>
      <c r="R31" s="131">
        <f>INDEX('Base de dados IHS'!$A$1:$V$676,MATCH($N31,'Base de dados IHS'!$C$1:$C$676,0),MATCH($R$1,'Base de dados IHS'!$A$1:$V$1,0))</f>
        <v>3.5745280945208555E-5</v>
      </c>
      <c r="S31" s="131">
        <f>INDEX('Base de dados IHS'!$A$1:$V$676,MATCH($N31,'Base de dados IHS'!$C$1:$C$676,0),MATCH($S$1,'Base de dados IHS'!$A$1:$V$1,0))</f>
        <v>2.5114779321439444E-6</v>
      </c>
      <c r="T31" t="str">
        <f>IF(Q31&lt;'Cenario A ranking setor PIB'!$G$58,"N","Y")</f>
        <v>N</v>
      </c>
    </row>
    <row r="32" spans="1:20" hidden="1" x14ac:dyDescent="0.45">
      <c r="A32" s="293" t="s">
        <v>173</v>
      </c>
      <c r="B32" s="297" t="s">
        <v>7</v>
      </c>
      <c r="C32" s="297" t="s">
        <v>958</v>
      </c>
      <c r="D32" s="311">
        <v>0.12265884000000001</v>
      </c>
      <c r="E32" s="311">
        <v>0.25375597</v>
      </c>
      <c r="F32" s="302">
        <f t="shared" si="0"/>
        <v>1.0687947970158529</v>
      </c>
      <c r="G32" s="311">
        <v>0.23925262</v>
      </c>
      <c r="H32" s="311">
        <v>0.25375597</v>
      </c>
      <c r="I32" s="302">
        <f t="shared" si="1"/>
        <v>6.0619398859665496E-2</v>
      </c>
      <c r="J32" s="311">
        <v>0.28691912000000003</v>
      </c>
      <c r="K32" s="311">
        <v>0.32122926000000002</v>
      </c>
      <c r="L32" s="311">
        <v>0.34705783000000001</v>
      </c>
      <c r="M32" s="312">
        <v>0.40576500999999998</v>
      </c>
      <c r="N32" t="str">
        <f t="shared" si="2"/>
        <v>PanamaManufacture of motor vehicles, trailers and semi-trailers (C29)</v>
      </c>
      <c r="O32" s="11">
        <f>INDEX('Base de dados IHS'!$A$1:$V$676,MATCH($N32,'Base de dados IHS'!$C$1:$C$676,0),MATCH($O$1,'Base de dados IHS'!$A$1:$V$1,0))</f>
        <v>58921.61186117</v>
      </c>
      <c r="P32" s="11">
        <f>INDEX('Base de dados IHS'!$A$1:$V$676,MATCH($N32,'Base de dados IHS'!$C$1:$C$676,0),MATCH($P$1,'Base de dados IHS'!$A$1:$V$1,0))</f>
        <v>65983.988595749994</v>
      </c>
      <c r="Q32" s="131">
        <f>INDEX('Base de dados IHS'!$A$1:$V$676,MATCH($N32,'Base de dados IHS'!$C$1:$C$676,0),MATCH($Q$1,'Base de dados IHS'!$A$1:$V$1,0))</f>
        <v>4.0605240155975799E-6</v>
      </c>
      <c r="R32" s="131">
        <f>INDEX('Base de dados IHS'!$A$1:$V$676,MATCH($N32,'Base de dados IHS'!$C$1:$C$676,0),MATCH($R$1,'Base de dados IHS'!$A$1:$V$1,0))</f>
        <v>3.8457203846016718E-6</v>
      </c>
      <c r="S32" s="131">
        <f>INDEX('Base de dados IHS'!$A$1:$V$676,MATCH($N32,'Base de dados IHS'!$C$1:$C$676,0),MATCH($S$1,'Base de dados IHS'!$A$1:$V$1,0))</f>
        <v>-2.1480363099590818E-7</v>
      </c>
      <c r="T32" t="str">
        <f>IF(Q32&lt;'Cenario A ranking setor PIB'!$G$58,"N","Y")</f>
        <v>N</v>
      </c>
    </row>
    <row r="33" spans="1:20" hidden="1" x14ac:dyDescent="0.45">
      <c r="A33" s="293" t="s">
        <v>169</v>
      </c>
      <c r="B33" s="297" t="s">
        <v>7</v>
      </c>
      <c r="C33" s="297" t="s">
        <v>958</v>
      </c>
      <c r="D33" s="311">
        <v>16.123225380000001</v>
      </c>
      <c r="E33" s="311">
        <v>21.948641940000002</v>
      </c>
      <c r="F33" s="302">
        <f t="shared" si="0"/>
        <v>0.36130590639923188</v>
      </c>
      <c r="G33" s="311">
        <v>18.63598623</v>
      </c>
      <c r="H33" s="311">
        <v>21.948641940000002</v>
      </c>
      <c r="I33" s="302">
        <f t="shared" si="1"/>
        <v>0.17775585735663002</v>
      </c>
      <c r="J33" s="311">
        <v>26.304250620000001</v>
      </c>
      <c r="K33" s="311">
        <v>28.788215730000001</v>
      </c>
      <c r="L33" s="311">
        <v>30.692263520000001</v>
      </c>
      <c r="M33" s="312">
        <v>35.8149522</v>
      </c>
      <c r="N33" t="str">
        <f t="shared" si="2"/>
        <v>Costa RicaManufacture of motor vehicles, trailers and semi-trailers (C29)</v>
      </c>
      <c r="O33" s="11">
        <f>INDEX('Base de dados IHS'!$A$1:$V$676,MATCH($N33,'Base de dados IHS'!$C$1:$C$676,0),MATCH($O$1,'Base de dados IHS'!$A$1:$V$1,0))</f>
        <v>56790.776904650003</v>
      </c>
      <c r="P33" s="11">
        <f>INDEX('Base de dados IHS'!$A$1:$V$676,MATCH($N33,'Base de dados IHS'!$C$1:$C$676,0),MATCH($P$1,'Base de dados IHS'!$A$1:$V$1,0))</f>
        <v>66933.267445050005</v>
      </c>
      <c r="Q33" s="131">
        <f>INDEX('Base de dados IHS'!$A$1:$V$676,MATCH($N33,'Base de dados IHS'!$C$1:$C$676,0),MATCH($Q$1,'Base de dados IHS'!$A$1:$V$1,0))</f>
        <v>3.2815163386986691E-4</v>
      </c>
      <c r="R33" s="131">
        <f>INDEX('Base de dados IHS'!$A$1:$V$676,MATCH($N33,'Base de dados IHS'!$C$1:$C$676,0),MATCH($R$1,'Base de dados IHS'!$A$1:$V$1,0))</f>
        <v>3.2791828006931096E-4</v>
      </c>
      <c r="S33" s="131">
        <f>INDEX('Base de dados IHS'!$A$1:$V$676,MATCH($N33,'Base de dados IHS'!$C$1:$C$676,0),MATCH($S$1,'Base de dados IHS'!$A$1:$V$1,0))</f>
        <v>-2.3335380055594613E-7</v>
      </c>
      <c r="T33" t="str">
        <f>IF(Q33&lt;'Cenario A ranking setor PIB'!$G$58,"N","Y")</f>
        <v>N</v>
      </c>
    </row>
    <row r="34" spans="1:20" hidden="1" x14ac:dyDescent="0.45">
      <c r="A34" s="293" t="s">
        <v>174</v>
      </c>
      <c r="B34" s="297" t="s">
        <v>7</v>
      </c>
      <c r="C34" s="297" t="s">
        <v>958</v>
      </c>
      <c r="D34" s="311">
        <v>50.53290475</v>
      </c>
      <c r="E34" s="311">
        <v>21.5704508</v>
      </c>
      <c r="F34" s="302">
        <f t="shared" ref="F34:F65" si="3">H34/D34-1</f>
        <v>-0.57314049317538984</v>
      </c>
      <c r="G34" s="311">
        <v>19.366167189999999</v>
      </c>
      <c r="H34" s="311">
        <v>21.5704508</v>
      </c>
      <c r="I34" s="302">
        <f t="shared" ref="I34:I65" si="4">H34/G34-1</f>
        <v>0.11382136632271855</v>
      </c>
      <c r="J34" s="311">
        <v>20.654941440000002</v>
      </c>
      <c r="K34" s="311">
        <v>23.52403417</v>
      </c>
      <c r="L34" s="311">
        <v>25.986560570000002</v>
      </c>
      <c r="M34" s="312">
        <v>32.364979320000003</v>
      </c>
      <c r="N34" t="str">
        <f t="shared" ref="N34:N65" si="5">A34&amp;B34</f>
        <v>Sri LankaManufacture of motor vehicles, trailers and semi-trailers (C29)</v>
      </c>
      <c r="O34" s="11">
        <f>INDEX('Base de dados IHS'!$A$1:$V$676,MATCH($N34,'Base de dados IHS'!$C$1:$C$676,0),MATCH($O$1,'Base de dados IHS'!$A$1:$V$1,0))</f>
        <v>77969.257644440004</v>
      </c>
      <c r="P34" s="11">
        <f>INDEX('Base de dados IHS'!$A$1:$V$676,MATCH($N34,'Base de dados IHS'!$C$1:$C$676,0),MATCH($P$1,'Base de dados IHS'!$A$1:$V$1,0))</f>
        <v>87884.425158479993</v>
      </c>
      <c r="Q34" s="131">
        <f>INDEX('Base de dados IHS'!$A$1:$V$676,MATCH($N34,'Base de dados IHS'!$C$1:$C$676,0),MATCH($Q$1,'Base de dados IHS'!$A$1:$V$1,0))</f>
        <v>2.4838209026325136E-4</v>
      </c>
      <c r="R34" s="131">
        <f>INDEX('Base de dados IHS'!$A$1:$V$676,MATCH($N34,'Base de dados IHS'!$C$1:$C$676,0),MATCH($R$1,'Base de dados IHS'!$A$1:$V$1,0))</f>
        <v>2.4544110928759557E-4</v>
      </c>
      <c r="S34" s="131">
        <f>INDEX('Base de dados IHS'!$A$1:$V$676,MATCH($N34,'Base de dados IHS'!$C$1:$C$676,0),MATCH($S$1,'Base de dados IHS'!$A$1:$V$1,0))</f>
        <v>-2.9409809756557911E-6</v>
      </c>
      <c r="T34" t="str">
        <f>IF(Q34&lt;'Cenario A ranking setor PIB'!$G$58,"N","Y")</f>
        <v>N</v>
      </c>
    </row>
    <row r="35" spans="1:20" hidden="1" x14ac:dyDescent="0.45">
      <c r="A35" s="293" t="s">
        <v>167</v>
      </c>
      <c r="B35" s="297" t="s">
        <v>7</v>
      </c>
      <c r="C35" s="297" t="s">
        <v>958</v>
      </c>
      <c r="D35" s="311">
        <v>14.425243930000001</v>
      </c>
      <c r="E35" s="311">
        <v>16.079134499999999</v>
      </c>
      <c r="F35" s="302">
        <f t="shared" si="3"/>
        <v>0.11465252012552951</v>
      </c>
      <c r="G35" s="311">
        <v>17.405893760000001</v>
      </c>
      <c r="H35" s="311">
        <v>16.079134499999999</v>
      </c>
      <c r="I35" s="302">
        <f t="shared" si="4"/>
        <v>-7.6224713208866701E-2</v>
      </c>
      <c r="J35" s="311">
        <v>19.820464940000001</v>
      </c>
      <c r="K35" s="311">
        <v>19.984189900000001</v>
      </c>
      <c r="L35" s="311">
        <v>19.90311054</v>
      </c>
      <c r="M35" s="312">
        <v>19.368911059999999</v>
      </c>
      <c r="N35" t="str">
        <f t="shared" si="5"/>
        <v>Hong Kong SARManufacture of motor vehicles, trailers and semi-trailers (C29)</v>
      </c>
      <c r="O35" s="11">
        <f>INDEX('Base de dados IHS'!$A$1:$V$676,MATCH($N35,'Base de dados IHS'!$C$1:$C$676,0),MATCH($O$1,'Base de dados IHS'!$A$1:$V$1,0))</f>
        <v>338559.97086627001</v>
      </c>
      <c r="P35" s="11">
        <f>INDEX('Base de dados IHS'!$A$1:$V$676,MATCH($N35,'Base de dados IHS'!$C$1:$C$676,0),MATCH($P$1,'Base de dados IHS'!$A$1:$V$1,0))</f>
        <v>361197.76240428002</v>
      </c>
      <c r="Q35" s="131">
        <f>INDEX('Base de dados IHS'!$A$1:$V$676,MATCH($N35,'Base de dados IHS'!$C$1:$C$676,0),MATCH($Q$1,'Base de dados IHS'!$A$1:$V$1,0))</f>
        <v>5.1411552628220386E-5</v>
      </c>
      <c r="R35" s="131">
        <f>INDEX('Base de dados IHS'!$A$1:$V$676,MATCH($N35,'Base de dados IHS'!$C$1:$C$676,0),MATCH($R$1,'Base de dados IHS'!$A$1:$V$1,0))</f>
        <v>4.4516152018691098E-5</v>
      </c>
      <c r="S35" s="131">
        <f>INDEX('Base de dados IHS'!$A$1:$V$676,MATCH($N35,'Base de dados IHS'!$C$1:$C$676,0),MATCH($S$1,'Base de dados IHS'!$A$1:$V$1,0))</f>
        <v>-6.8954006095292881E-6</v>
      </c>
      <c r="T35" t="str">
        <f>IF(Q35&lt;'Cenario A ranking setor PIB'!$G$58,"N","Y")</f>
        <v>N</v>
      </c>
    </row>
    <row r="36" spans="1:20" hidden="1" x14ac:dyDescent="0.45">
      <c r="A36" s="293" t="s">
        <v>158</v>
      </c>
      <c r="B36" s="297" t="s">
        <v>7</v>
      </c>
      <c r="C36" s="297" t="s">
        <v>958</v>
      </c>
      <c r="D36" s="311">
        <v>3.6828361599999999</v>
      </c>
      <c r="E36" s="311">
        <v>5.0999647899999996</v>
      </c>
      <c r="F36" s="302">
        <f t="shared" si="3"/>
        <v>0.38479274353600346</v>
      </c>
      <c r="G36" s="311">
        <v>4.1901700899999996</v>
      </c>
      <c r="H36" s="311">
        <v>5.0999647899999996</v>
      </c>
      <c r="I36" s="302">
        <f t="shared" si="4"/>
        <v>0.21712595919942723</v>
      </c>
      <c r="J36" s="311">
        <v>5.9818743899999998</v>
      </c>
      <c r="K36" s="311">
        <v>7.0185225100000004</v>
      </c>
      <c r="L36" s="311">
        <v>7.8999192100000002</v>
      </c>
      <c r="M36" s="312">
        <v>10.45218318</v>
      </c>
      <c r="N36" t="str">
        <f t="shared" si="5"/>
        <v>GhanaManufacture of motor vehicles, trailers and semi-trailers (C29)</v>
      </c>
      <c r="O36" s="11">
        <f>INDEX('Base de dados IHS'!$A$1:$V$676,MATCH($N36,'Base de dados IHS'!$C$1:$C$676,0),MATCH($O$1,'Base de dados IHS'!$A$1:$V$1,0))</f>
        <v>54050.698328470004</v>
      </c>
      <c r="P36" s="11">
        <f>INDEX('Base de dados IHS'!$A$1:$V$676,MATCH($N36,'Base de dados IHS'!$C$1:$C$676,0),MATCH($P$1,'Base de dados IHS'!$A$1:$V$1,0))</f>
        <v>72367.878986030002</v>
      </c>
      <c r="Q36" s="131">
        <f>INDEX('Base de dados IHS'!$A$1:$V$676,MATCH($N36,'Base de dados IHS'!$C$1:$C$676,0),MATCH($Q$1,'Base de dados IHS'!$A$1:$V$1,0))</f>
        <v>7.7522959361894512E-5</v>
      </c>
      <c r="R36" s="131">
        <f>INDEX('Base de dados IHS'!$A$1:$V$676,MATCH($N36,'Base de dados IHS'!$C$1:$C$676,0),MATCH($R$1,'Base de dados IHS'!$A$1:$V$1,0))</f>
        <v>7.0472768601999563E-5</v>
      </c>
      <c r="S36" s="131">
        <f>INDEX('Base de dados IHS'!$A$1:$V$676,MATCH($N36,'Base de dados IHS'!$C$1:$C$676,0),MATCH($S$1,'Base de dados IHS'!$A$1:$V$1,0))</f>
        <v>-7.0501907598949495E-6</v>
      </c>
      <c r="T36" t="str">
        <f>IF(Q36&lt;'Cenario A ranking setor PIB'!$G$58,"N","Y")</f>
        <v>N</v>
      </c>
    </row>
    <row r="37" spans="1:20" hidden="1" x14ac:dyDescent="0.45">
      <c r="A37" s="293" t="s">
        <v>127</v>
      </c>
      <c r="B37" s="297" t="s">
        <v>7</v>
      </c>
      <c r="C37" s="297" t="s">
        <v>958</v>
      </c>
      <c r="D37" s="311">
        <v>178.10843403999999</v>
      </c>
      <c r="E37" s="311">
        <v>292.35694840999997</v>
      </c>
      <c r="F37" s="302">
        <f t="shared" si="3"/>
        <v>0.64145482489808314</v>
      </c>
      <c r="G37" s="311">
        <v>192.19792398000001</v>
      </c>
      <c r="H37" s="311">
        <v>292.35694840999997</v>
      </c>
      <c r="I37" s="302">
        <f t="shared" si="4"/>
        <v>0.52112438238626568</v>
      </c>
      <c r="J37" s="311">
        <v>329.02117635000002</v>
      </c>
      <c r="K37" s="311">
        <v>324.38674368</v>
      </c>
      <c r="L37" s="311">
        <v>325.16340356000001</v>
      </c>
      <c r="M37" s="312">
        <v>333.65077277</v>
      </c>
      <c r="N37" t="str">
        <f t="shared" si="5"/>
        <v>IrelandManufacture of motor vehicles, trailers and semi-trailers (C29)</v>
      </c>
      <c r="O37" s="11">
        <f>INDEX('Base de dados IHS'!$A$1:$V$676,MATCH($N37,'Base de dados IHS'!$C$1:$C$676,0),MATCH($O$1,'Base de dados IHS'!$A$1:$V$1,0))</f>
        <v>308812.05776281998</v>
      </c>
      <c r="P37" s="11">
        <f>INDEX('Base de dados IHS'!$A$1:$V$676,MATCH($N37,'Base de dados IHS'!$C$1:$C$676,0),MATCH($P$1,'Base de dados IHS'!$A$1:$V$1,0))</f>
        <v>483748.84960921999</v>
      </c>
      <c r="Q37" s="131">
        <f>INDEX('Base de dados IHS'!$A$1:$V$676,MATCH($N37,'Base de dados IHS'!$C$1:$C$676,0),MATCH($Q$1,'Base de dados IHS'!$A$1:$V$1,0))</f>
        <v>6.2237830145743761E-4</v>
      </c>
      <c r="R37" s="131">
        <f>INDEX('Base de dados IHS'!$A$1:$V$676,MATCH($N37,'Base de dados IHS'!$C$1:$C$676,0),MATCH($R$1,'Base de dados IHS'!$A$1:$V$1,0))</f>
        <v>6.0435688611181306E-4</v>
      </c>
      <c r="S37" s="131">
        <f>INDEX('Base de dados IHS'!$A$1:$V$676,MATCH($N37,'Base de dados IHS'!$C$1:$C$676,0),MATCH($S$1,'Base de dados IHS'!$A$1:$V$1,0))</f>
        <v>-1.8021415345624548E-5</v>
      </c>
      <c r="T37" t="str">
        <f>IF(Q37&lt;'Cenario A ranking setor PIB'!$G$58,"N","Y")</f>
        <v>N</v>
      </c>
    </row>
    <row r="38" spans="1:20" hidden="1" x14ac:dyDescent="0.45">
      <c r="A38" s="293" t="s">
        <v>67</v>
      </c>
      <c r="B38" s="297" t="s">
        <v>7</v>
      </c>
      <c r="C38" s="297" t="s">
        <v>958</v>
      </c>
      <c r="D38" s="311">
        <v>724.65286268</v>
      </c>
      <c r="E38" s="311">
        <v>730.92188512999996</v>
      </c>
      <c r="F38" s="302">
        <f t="shared" si="3"/>
        <v>8.651069736777206E-3</v>
      </c>
      <c r="G38" s="311">
        <v>672.60501696999995</v>
      </c>
      <c r="H38" s="311">
        <v>730.92188512999996</v>
      </c>
      <c r="I38" s="302">
        <f t="shared" si="4"/>
        <v>8.6702993121743344E-2</v>
      </c>
      <c r="J38" s="311">
        <v>814.33941317999995</v>
      </c>
      <c r="K38" s="311">
        <v>845.18094609000002</v>
      </c>
      <c r="L38" s="311">
        <v>837.17082413000003</v>
      </c>
      <c r="M38" s="312">
        <v>849.93285182</v>
      </c>
      <c r="N38" t="str">
        <f t="shared" si="5"/>
        <v>SwitzerlandManufacture of motor vehicles, trailers and semi-trailers (C29)</v>
      </c>
      <c r="O38" s="11">
        <f>INDEX('Base de dados IHS'!$A$1:$V$676,MATCH($N38,'Base de dados IHS'!$C$1:$C$676,0),MATCH($O$1,'Base de dados IHS'!$A$1:$V$1,0))</f>
        <v>669989.49931316997</v>
      </c>
      <c r="P38" s="11">
        <f>INDEX('Base de dados IHS'!$A$1:$V$676,MATCH($N38,'Base de dados IHS'!$C$1:$C$676,0),MATCH($P$1,'Base de dados IHS'!$A$1:$V$1,0))</f>
        <v>743458.79269773001</v>
      </c>
      <c r="Q38" s="131">
        <f>INDEX('Base de dados IHS'!$A$1:$V$676,MATCH($N38,'Base de dados IHS'!$C$1:$C$676,0),MATCH($Q$1,'Base de dados IHS'!$A$1:$V$1,0))</f>
        <v>1.0039038188800141E-3</v>
      </c>
      <c r="R38" s="131">
        <f>INDEX('Base de dados IHS'!$A$1:$V$676,MATCH($N38,'Base de dados IHS'!$C$1:$C$676,0),MATCH($R$1,'Base de dados IHS'!$A$1:$V$1,0))</f>
        <v>9.8313705118445319E-4</v>
      </c>
      <c r="S38" s="131">
        <f>INDEX('Base de dados IHS'!$A$1:$V$676,MATCH($N38,'Base de dados IHS'!$C$1:$C$676,0),MATCH($S$1,'Base de dados IHS'!$A$1:$V$1,0))</f>
        <v>-2.0766767695560955E-5</v>
      </c>
      <c r="T38" t="str">
        <f>IF(Q38&lt;'Cenario A ranking setor PIB'!$G$58,"N","Y")</f>
        <v>N</v>
      </c>
    </row>
    <row r="39" spans="1:20" hidden="1" x14ac:dyDescent="0.45">
      <c r="A39" s="293" t="s">
        <v>121</v>
      </c>
      <c r="B39" s="297" t="s">
        <v>7</v>
      </c>
      <c r="C39" s="297" t="s">
        <v>958</v>
      </c>
      <c r="D39" s="311">
        <v>208.83079429</v>
      </c>
      <c r="E39" s="311">
        <v>325.04020104</v>
      </c>
      <c r="F39" s="302">
        <f t="shared" si="3"/>
        <v>0.55647639106626134</v>
      </c>
      <c r="G39" s="311">
        <v>282.89642491000001</v>
      </c>
      <c r="H39" s="311">
        <v>325.04020104</v>
      </c>
      <c r="I39" s="302">
        <f t="shared" si="4"/>
        <v>0.14897245924336966</v>
      </c>
      <c r="J39" s="311">
        <v>599.29480044000002</v>
      </c>
      <c r="K39" s="311">
        <v>439.79832784000001</v>
      </c>
      <c r="L39" s="311">
        <v>296.06248505999997</v>
      </c>
      <c r="M39" s="312">
        <v>436.70609078000001</v>
      </c>
      <c r="N39" t="str">
        <f t="shared" si="5"/>
        <v>SingaporeManufacture of motor vehicles, trailers and semi-trailers (C29)</v>
      </c>
      <c r="O39" s="11">
        <f>INDEX('Base de dados IHS'!$A$1:$V$676,MATCH($N39,'Base de dados IHS'!$C$1:$C$676,0),MATCH($O$1,'Base de dados IHS'!$A$1:$V$1,0))</f>
        <v>331298.98374970001</v>
      </c>
      <c r="P39" s="11">
        <f>INDEX('Base de dados IHS'!$A$1:$V$676,MATCH($N39,'Base de dados IHS'!$C$1:$C$676,0),MATCH($P$1,'Base de dados IHS'!$A$1:$V$1,0))</f>
        <v>394237.177708</v>
      </c>
      <c r="Q39" s="131">
        <f>INDEX('Base de dados IHS'!$A$1:$V$676,MATCH($N39,'Base de dados IHS'!$C$1:$C$676,0),MATCH($Q$1,'Base de dados IHS'!$A$1:$V$1,0))</f>
        <v>8.5390067216062251E-4</v>
      </c>
      <c r="R39" s="131">
        <f>INDEX('Base de dados IHS'!$A$1:$V$676,MATCH($N39,'Base de dados IHS'!$C$1:$C$676,0),MATCH($R$1,'Base de dados IHS'!$A$1:$V$1,0))</f>
        <v>8.2447881483351069E-4</v>
      </c>
      <c r="S39" s="131">
        <f>INDEX('Base de dados IHS'!$A$1:$V$676,MATCH($N39,'Base de dados IHS'!$C$1:$C$676,0),MATCH($S$1,'Base de dados IHS'!$A$1:$V$1,0))</f>
        <v>-2.9421857327111825E-5</v>
      </c>
      <c r="T39" t="str">
        <f>IF(Q39&lt;'Cenario A ranking setor PIB'!$G$58,"N","Y")</f>
        <v>N</v>
      </c>
    </row>
    <row r="40" spans="1:20" hidden="1" x14ac:dyDescent="0.45">
      <c r="A40" s="293" t="s">
        <v>178</v>
      </c>
      <c r="B40" s="297" t="s">
        <v>7</v>
      </c>
      <c r="C40" s="297" t="s">
        <v>958</v>
      </c>
      <c r="D40" s="311">
        <v>3.8315444099999998</v>
      </c>
      <c r="E40" s="311">
        <v>4.8021968900000003</v>
      </c>
      <c r="F40" s="302">
        <f t="shared" si="3"/>
        <v>0.2533319142710917</v>
      </c>
      <c r="G40" s="311">
        <v>4.2570526299999996</v>
      </c>
      <c r="H40" s="311">
        <v>4.8021968900000003</v>
      </c>
      <c r="I40" s="302">
        <f t="shared" si="4"/>
        <v>0.12805673487762381</v>
      </c>
      <c r="J40" s="311">
        <v>4.9015554100000003</v>
      </c>
      <c r="K40" s="311">
        <v>4.9214103500000004</v>
      </c>
      <c r="L40" s="311">
        <v>4.9338130900000001</v>
      </c>
      <c r="M40" s="312">
        <v>4.9701882399999997</v>
      </c>
      <c r="N40" t="str">
        <f t="shared" si="5"/>
        <v>SenegalManufacture of motor vehicles, trailers and semi-trailers (C29)</v>
      </c>
      <c r="O40" s="11">
        <f>INDEX('Base de dados IHS'!$A$1:$V$676,MATCH($N40,'Base de dados IHS'!$C$1:$C$676,0),MATCH($O$1,'Base de dados IHS'!$A$1:$V$1,0))</f>
        <v>18437.455260710001</v>
      </c>
      <c r="P40" s="11">
        <f>INDEX('Base de dados IHS'!$A$1:$V$676,MATCH($N40,'Base de dados IHS'!$C$1:$C$676,0),MATCH($P$1,'Base de dados IHS'!$A$1:$V$1,0))</f>
        <v>25150.80803964</v>
      </c>
      <c r="Q40" s="131">
        <f>INDEX('Base de dados IHS'!$A$1:$V$676,MATCH($N40,'Base de dados IHS'!$C$1:$C$676,0),MATCH($Q$1,'Base de dados IHS'!$A$1:$V$1,0))</f>
        <v>2.3089155036876092E-4</v>
      </c>
      <c r="R40" s="131">
        <f>INDEX('Base de dados IHS'!$A$1:$V$676,MATCH($N40,'Base de dados IHS'!$C$1:$C$676,0),MATCH($R$1,'Base de dados IHS'!$A$1:$V$1,0))</f>
        <v>1.9093608771659717E-4</v>
      </c>
      <c r="S40" s="131">
        <f>INDEX('Base de dados IHS'!$A$1:$V$676,MATCH($N40,'Base de dados IHS'!$C$1:$C$676,0),MATCH($S$1,'Base de dados IHS'!$A$1:$V$1,0))</f>
        <v>-3.9955462652163751E-5</v>
      </c>
      <c r="T40" t="str">
        <f>IF(Q40&lt;'Cenario A ranking setor PIB'!$G$58,"N","Y")</f>
        <v>N</v>
      </c>
    </row>
    <row r="41" spans="1:20" hidden="1" x14ac:dyDescent="0.45">
      <c r="A41" s="293" t="s">
        <v>116</v>
      </c>
      <c r="B41" s="297" t="s">
        <v>7</v>
      </c>
      <c r="C41" s="297" t="s">
        <v>958</v>
      </c>
      <c r="D41" s="311">
        <v>313.55339960999999</v>
      </c>
      <c r="E41" s="311">
        <v>373.00866894000001</v>
      </c>
      <c r="F41" s="302">
        <f t="shared" si="3"/>
        <v>0.18961768363523057</v>
      </c>
      <c r="G41" s="311">
        <v>342.03437881000002</v>
      </c>
      <c r="H41" s="311">
        <v>373.00866894000001</v>
      </c>
      <c r="I41" s="302">
        <f t="shared" si="4"/>
        <v>9.0558996548139925E-2</v>
      </c>
      <c r="J41" s="311">
        <v>337.08982686000002</v>
      </c>
      <c r="K41" s="311">
        <v>337.28835098000002</v>
      </c>
      <c r="L41" s="311">
        <v>336.35704981999999</v>
      </c>
      <c r="M41" s="312">
        <v>311.95258230000002</v>
      </c>
      <c r="N41" t="str">
        <f t="shared" si="5"/>
        <v>DenmarkManufacture of motor vehicles, trailers and semi-trailers (C29)</v>
      </c>
      <c r="O41" s="11">
        <f>INDEX('Base de dados IHS'!$A$1:$V$676,MATCH($N41,'Base de dados IHS'!$C$1:$C$676,0),MATCH($O$1,'Base de dados IHS'!$A$1:$V$1,0))</f>
        <v>315318.76572541997</v>
      </c>
      <c r="P41" s="11">
        <f>INDEX('Base de dados IHS'!$A$1:$V$676,MATCH($N41,'Base de dados IHS'!$C$1:$C$676,0),MATCH($P$1,'Base de dados IHS'!$A$1:$V$1,0))</f>
        <v>361238.79673869</v>
      </c>
      <c r="Q41" s="131">
        <f>INDEX('Base de dados IHS'!$A$1:$V$676,MATCH($N41,'Base de dados IHS'!$C$1:$C$676,0),MATCH($Q$1,'Base de dados IHS'!$A$1:$V$1,0))</f>
        <v>1.084725731508933E-3</v>
      </c>
      <c r="R41" s="131">
        <f>INDEX('Base de dados IHS'!$A$1:$V$676,MATCH($N41,'Base de dados IHS'!$C$1:$C$676,0),MATCH($R$1,'Base de dados IHS'!$A$1:$V$1,0))</f>
        <v>1.0325819715588966E-3</v>
      </c>
      <c r="S41" s="131">
        <f>INDEX('Base de dados IHS'!$A$1:$V$676,MATCH($N41,'Base de dados IHS'!$C$1:$C$676,0),MATCH($S$1,'Base de dados IHS'!$A$1:$V$1,0))</f>
        <v>-5.2143759950036431E-5</v>
      </c>
      <c r="T41" t="str">
        <f>IF(Q41&lt;'Cenario A ranking setor PIB'!$G$58,"N","Y")</f>
        <v>N</v>
      </c>
    </row>
    <row r="42" spans="1:20" hidden="1" x14ac:dyDescent="0.45">
      <c r="A42" s="293" t="s">
        <v>170</v>
      </c>
      <c r="B42" s="297" t="s">
        <v>7</v>
      </c>
      <c r="C42" s="297" t="s">
        <v>958</v>
      </c>
      <c r="D42" s="311">
        <v>153.26219907999999</v>
      </c>
      <c r="E42" s="311">
        <v>152.31197080000001</v>
      </c>
      <c r="F42" s="302">
        <f t="shared" si="3"/>
        <v>-6.2000172625995553E-3</v>
      </c>
      <c r="G42" s="311">
        <v>148.14874992</v>
      </c>
      <c r="H42" s="311">
        <v>152.31197080000001</v>
      </c>
      <c r="I42" s="302">
        <f t="shared" si="4"/>
        <v>2.8101626792316203E-2</v>
      </c>
      <c r="J42" s="311">
        <v>163.70921709999999</v>
      </c>
      <c r="K42" s="311">
        <v>176.029259</v>
      </c>
      <c r="L42" s="311">
        <v>185.88171525000001</v>
      </c>
      <c r="M42" s="312">
        <v>204.65505772</v>
      </c>
      <c r="N42" t="str">
        <f t="shared" si="5"/>
        <v>ChileManufacture of motor vehicles, trailers and semi-trailers (C29)</v>
      </c>
      <c r="O42" s="11">
        <f>INDEX('Base de dados IHS'!$A$1:$V$676,MATCH($N42,'Base de dados IHS'!$C$1:$C$676,0),MATCH($O$1,'Base de dados IHS'!$A$1:$V$1,0))</f>
        <v>257576.69277617999</v>
      </c>
      <c r="P42" s="11">
        <f>INDEX('Base de dados IHS'!$A$1:$V$676,MATCH($N42,'Base de dados IHS'!$C$1:$C$676,0),MATCH($P$1,'Base de dados IHS'!$A$1:$V$1,0))</f>
        <v>291863.26262717001</v>
      </c>
      <c r="Q42" s="131">
        <f>INDEX('Base de dados IHS'!$A$1:$V$676,MATCH($N42,'Base de dados IHS'!$C$1:$C$676,0),MATCH($Q$1,'Base de dados IHS'!$A$1:$V$1,0))</f>
        <v>5.7516364669195103E-4</v>
      </c>
      <c r="R42" s="131">
        <f>INDEX('Base de dados IHS'!$A$1:$V$676,MATCH($N42,'Base de dados IHS'!$C$1:$C$676,0),MATCH($R$1,'Base de dados IHS'!$A$1:$V$1,0))</f>
        <v>5.2186071459964917E-4</v>
      </c>
      <c r="S42" s="131">
        <f>INDEX('Base de dados IHS'!$A$1:$V$676,MATCH($N42,'Base de dados IHS'!$C$1:$C$676,0),MATCH($S$1,'Base de dados IHS'!$A$1:$V$1,0))</f>
        <v>-5.330293209230186E-5</v>
      </c>
      <c r="T42" t="str">
        <f>IF(Q42&lt;'Cenario A ranking setor PIB'!$G$58,"N","Y")</f>
        <v>N</v>
      </c>
    </row>
    <row r="43" spans="1:20" hidden="1" x14ac:dyDescent="0.45">
      <c r="A43" s="293" t="s">
        <v>175</v>
      </c>
      <c r="B43" s="297" t="s">
        <v>7</v>
      </c>
      <c r="C43" s="297" t="s">
        <v>958</v>
      </c>
      <c r="D43" s="311">
        <v>113.82217353999999</v>
      </c>
      <c r="E43" s="311">
        <v>171.84598148000001</v>
      </c>
      <c r="F43" s="302">
        <f t="shared" si="3"/>
        <v>0.50977596135614989</v>
      </c>
      <c r="G43" s="311">
        <v>140.95311484000001</v>
      </c>
      <c r="H43" s="311">
        <v>171.84598148000001</v>
      </c>
      <c r="I43" s="302">
        <f t="shared" si="4"/>
        <v>0.21917122353108254</v>
      </c>
      <c r="J43" s="311">
        <v>211.15718071000001</v>
      </c>
      <c r="K43" s="311">
        <v>260.29037387</v>
      </c>
      <c r="L43" s="311">
        <v>301.59560309</v>
      </c>
      <c r="M43" s="312">
        <v>416.04955776000003</v>
      </c>
      <c r="N43" t="str">
        <f t="shared" si="5"/>
        <v>KenyaManufacture of motor vehicles, trailers and semi-trailers (C29)</v>
      </c>
      <c r="O43" s="11">
        <f>INDEX('Base de dados IHS'!$A$1:$V$676,MATCH($N43,'Base de dados IHS'!$C$1:$C$676,0),MATCH($O$1,'Base de dados IHS'!$A$1:$V$1,0))</f>
        <v>83525.195225389994</v>
      </c>
      <c r="P43" s="11">
        <f>INDEX('Base de dados IHS'!$A$1:$V$676,MATCH($N43,'Base de dados IHS'!$C$1:$C$676,0),MATCH($P$1,'Base de dados IHS'!$A$1:$V$1,0))</f>
        <v>107697.99713524</v>
      </c>
      <c r="Q43" s="131">
        <f>INDEX('Base de dados IHS'!$A$1:$V$676,MATCH($N43,'Base de dados IHS'!$C$1:$C$676,0),MATCH($Q$1,'Base de dados IHS'!$A$1:$V$1,0))</f>
        <v>1.687552054917593E-3</v>
      </c>
      <c r="R43" s="131">
        <f>INDEX('Base de dados IHS'!$A$1:$V$676,MATCH($N43,'Base de dados IHS'!$C$1:$C$676,0),MATCH($R$1,'Base de dados IHS'!$A$1:$V$1,0))</f>
        <v>1.5956283872596742E-3</v>
      </c>
      <c r="S43" s="131">
        <f>INDEX('Base de dados IHS'!$A$1:$V$676,MATCH($N43,'Base de dados IHS'!$C$1:$C$676,0),MATCH($S$1,'Base de dados IHS'!$A$1:$V$1,0))</f>
        <v>-9.19236676579188E-5</v>
      </c>
      <c r="T43" t="str">
        <f>IF(Q43&lt;'Cenario A ranking setor PIB'!$G$58,"N","Y")</f>
        <v>N</v>
      </c>
    </row>
    <row r="44" spans="1:20" hidden="1" x14ac:dyDescent="0.45">
      <c r="A44" s="293" t="s">
        <v>177</v>
      </c>
      <c r="B44" s="297" t="s">
        <v>7</v>
      </c>
      <c r="C44" s="297" t="s">
        <v>958</v>
      </c>
      <c r="D44" s="311">
        <v>28.940331359999998</v>
      </c>
      <c r="E44" s="311">
        <v>35.349101959999999</v>
      </c>
      <c r="F44" s="302">
        <f t="shared" si="3"/>
        <v>0.22144772705878246</v>
      </c>
      <c r="G44" s="311">
        <v>35.862797129999997</v>
      </c>
      <c r="H44" s="311">
        <v>35.349101959999999</v>
      </c>
      <c r="I44" s="302">
        <f t="shared" si="4"/>
        <v>-1.4323901399489025E-2</v>
      </c>
      <c r="J44" s="311">
        <v>40.680110740000003</v>
      </c>
      <c r="K44" s="311">
        <v>53.956660749999998</v>
      </c>
      <c r="L44" s="311">
        <v>67.423239100000004</v>
      </c>
      <c r="M44" s="312">
        <v>90.27080977</v>
      </c>
      <c r="N44" t="str">
        <f t="shared" si="5"/>
        <v>BoliviaManufacture of motor vehicles, trailers and semi-trailers (C29)</v>
      </c>
      <c r="O44" s="11">
        <f>INDEX('Base de dados IHS'!$A$1:$V$676,MATCH($N44,'Base de dados IHS'!$C$1:$C$676,0),MATCH($O$1,'Base de dados IHS'!$A$1:$V$1,0))</f>
        <v>35334.894672080001</v>
      </c>
      <c r="P44" s="11">
        <f>INDEX('Base de dados IHS'!$A$1:$V$676,MATCH($N44,'Base de dados IHS'!$C$1:$C$676,0),MATCH($P$1,'Base de dados IHS'!$A$1:$V$1,0))</f>
        <v>39600.741188879998</v>
      </c>
      <c r="Q44" s="131">
        <f>INDEX('Base de dados IHS'!$A$1:$V$676,MATCH($N44,'Base de dados IHS'!$C$1:$C$676,0),MATCH($Q$1,'Base de dados IHS'!$A$1:$V$1,0))</f>
        <v>1.0149399754214386E-3</v>
      </c>
      <c r="R44" s="131">
        <f>INDEX('Base de dados IHS'!$A$1:$V$676,MATCH($N44,'Base de dados IHS'!$C$1:$C$676,0),MATCH($R$1,'Base de dados IHS'!$A$1:$V$1,0))</f>
        <v>8.9263738250248026E-4</v>
      </c>
      <c r="S44" s="131">
        <f>INDEX('Base de dados IHS'!$A$1:$V$676,MATCH($N44,'Base de dados IHS'!$C$1:$C$676,0),MATCH($S$1,'Base de dados IHS'!$A$1:$V$1,0))</f>
        <v>-1.2230259291895831E-4</v>
      </c>
      <c r="T44" t="str">
        <f>IF(Q44&lt;'Cenario A ranking setor PIB'!$G$58,"N","Y")</f>
        <v>N</v>
      </c>
    </row>
    <row r="45" spans="1:20" hidden="1" x14ac:dyDescent="0.45">
      <c r="A45" s="293" t="s">
        <v>176</v>
      </c>
      <c r="B45" s="297" t="s">
        <v>7</v>
      </c>
      <c r="C45" s="297" t="s">
        <v>958</v>
      </c>
      <c r="D45" s="311">
        <v>19.34930902</v>
      </c>
      <c r="E45" s="311">
        <v>10.571970090000001</v>
      </c>
      <c r="F45" s="302">
        <f t="shared" si="3"/>
        <v>-0.45362544579382602</v>
      </c>
      <c r="G45" s="311">
        <v>14.940769080000001</v>
      </c>
      <c r="H45" s="311">
        <v>10.571970090000001</v>
      </c>
      <c r="I45" s="302">
        <f t="shared" si="4"/>
        <v>-0.29240790528301241</v>
      </c>
      <c r="J45" s="311">
        <v>14.06001433</v>
      </c>
      <c r="K45" s="311">
        <v>14.94856062</v>
      </c>
      <c r="L45" s="311">
        <v>15.57476866</v>
      </c>
      <c r="M45" s="312">
        <v>16.87697215</v>
      </c>
      <c r="N45" t="str">
        <f t="shared" si="5"/>
        <v>JordanManufacture of motor vehicles, trailers and semi-trailers (C29)</v>
      </c>
      <c r="O45" s="11">
        <f>INDEX('Base de dados IHS'!$A$1:$V$676,MATCH($N45,'Base de dados IHS'!$C$1:$C$676,0),MATCH($O$1,'Base de dados IHS'!$A$1:$V$1,0))</f>
        <v>41181.394892199998</v>
      </c>
      <c r="P45" s="11">
        <f>INDEX('Base de dados IHS'!$A$1:$V$676,MATCH($N45,'Base de dados IHS'!$C$1:$C$676,0),MATCH($P$1,'Base de dados IHS'!$A$1:$V$1,0))</f>
        <v>44841.419332370002</v>
      </c>
      <c r="Q45" s="131">
        <f>INDEX('Base de dados IHS'!$A$1:$V$676,MATCH($N45,'Base de dados IHS'!$C$1:$C$676,0),MATCH($Q$1,'Base de dados IHS'!$A$1:$V$1,0))</f>
        <v>3.6280386128518128E-4</v>
      </c>
      <c r="R45" s="131">
        <f>INDEX('Base de dados IHS'!$A$1:$V$676,MATCH($N45,'Base de dados IHS'!$C$1:$C$676,0),MATCH($R$1,'Base de dados IHS'!$A$1:$V$1,0))</f>
        <v>2.35763502748191E-4</v>
      </c>
      <c r="S45" s="131">
        <f>INDEX('Base de dados IHS'!$A$1:$V$676,MATCH($N45,'Base de dados IHS'!$C$1:$C$676,0),MATCH($S$1,'Base de dados IHS'!$A$1:$V$1,0))</f>
        <v>-1.2704035853699028E-4</v>
      </c>
      <c r="T45" t="str">
        <f>IF(Q45&lt;'Cenario A ranking setor PIB'!$G$58,"N","Y")</f>
        <v>N</v>
      </c>
    </row>
    <row r="46" spans="1:20" hidden="1" x14ac:dyDescent="0.45">
      <c r="A46" s="293" t="s">
        <v>143</v>
      </c>
      <c r="B46" s="297" t="s">
        <v>7</v>
      </c>
      <c r="C46" s="297" t="s">
        <v>958</v>
      </c>
      <c r="D46" s="311">
        <v>336.40529025000001</v>
      </c>
      <c r="E46" s="311">
        <v>376.26299039999998</v>
      </c>
      <c r="F46" s="302">
        <f t="shared" si="3"/>
        <v>0.11848119308819327</v>
      </c>
      <c r="G46" s="311">
        <v>401.67846787000002</v>
      </c>
      <c r="H46" s="311">
        <v>376.26299039999998</v>
      </c>
      <c r="I46" s="302">
        <f t="shared" si="4"/>
        <v>-6.3273188639590083E-2</v>
      </c>
      <c r="J46" s="311">
        <v>514.17479401000003</v>
      </c>
      <c r="K46" s="311">
        <v>574.18311674999995</v>
      </c>
      <c r="L46" s="311">
        <v>621.85495834000005</v>
      </c>
      <c r="M46" s="312">
        <v>742.58326320000003</v>
      </c>
      <c r="N46" t="str">
        <f t="shared" si="5"/>
        <v>United Arab EmiratesManufacture of motor vehicles, trailers and semi-trailers (C29)</v>
      </c>
      <c r="O46" s="11">
        <f>INDEX('Base de dados IHS'!$A$1:$V$676,MATCH($N46,'Base de dados IHS'!$C$1:$C$676,0),MATCH($O$1,'Base de dados IHS'!$A$1:$V$1,0))</f>
        <v>383753.13090967003</v>
      </c>
      <c r="P46" s="11">
        <f>INDEX('Base de dados IHS'!$A$1:$V$676,MATCH($N46,'Base de dados IHS'!$C$1:$C$676,0),MATCH($P$1,'Base de dados IHS'!$A$1:$V$1,0))</f>
        <v>414599.77007557999</v>
      </c>
      <c r="Q46" s="131">
        <f>INDEX('Base de dados IHS'!$A$1:$V$676,MATCH($N46,'Base de dados IHS'!$C$1:$C$676,0),MATCH($Q$1,'Base de dados IHS'!$A$1:$V$1,0))</f>
        <v>1.0467105946936218E-3</v>
      </c>
      <c r="R46" s="131">
        <f>INDEX('Base de dados IHS'!$A$1:$V$676,MATCH($N46,'Base de dados IHS'!$C$1:$C$676,0),MATCH($R$1,'Base de dados IHS'!$A$1:$V$1,0))</f>
        <v>9.0753304164015484E-4</v>
      </c>
      <c r="S46" s="131">
        <f>INDEX('Base de dados IHS'!$A$1:$V$676,MATCH($N46,'Base de dados IHS'!$C$1:$C$676,0),MATCH($S$1,'Base de dados IHS'!$A$1:$V$1,0))</f>
        <v>-1.3917755305346694E-4</v>
      </c>
      <c r="T46" t="str">
        <f>IF(Q46&lt;'Cenario A ranking setor PIB'!$G$58,"N","Y")</f>
        <v>N</v>
      </c>
    </row>
    <row r="47" spans="1:20" hidden="1" x14ac:dyDescent="0.45">
      <c r="A47" s="293" t="s">
        <v>120</v>
      </c>
      <c r="B47" s="297" t="s">
        <v>7</v>
      </c>
      <c r="C47" s="297" t="s">
        <v>958</v>
      </c>
      <c r="D47" s="311">
        <v>684.63902384000005</v>
      </c>
      <c r="E47" s="311">
        <v>452.83491507000002</v>
      </c>
      <c r="F47" s="302">
        <f t="shared" si="3"/>
        <v>-0.33857858038803901</v>
      </c>
      <c r="G47" s="311">
        <v>576.03035566000005</v>
      </c>
      <c r="H47" s="311">
        <v>452.83491507000002</v>
      </c>
      <c r="I47" s="302">
        <f t="shared" si="4"/>
        <v>-0.21386970214242618</v>
      </c>
      <c r="J47" s="311">
        <v>523.34275713</v>
      </c>
      <c r="K47" s="311">
        <v>589.60306544000002</v>
      </c>
      <c r="L47" s="311">
        <v>657.25872508999998</v>
      </c>
      <c r="M47" s="312">
        <v>754.41588307999996</v>
      </c>
      <c r="N47" t="str">
        <f t="shared" si="5"/>
        <v>AustraliaManufacture of motor vehicles, trailers and semi-trailers (C29)</v>
      </c>
      <c r="O47" s="11">
        <f>INDEX('Base de dados IHS'!$A$1:$V$676,MATCH($N47,'Base de dados IHS'!$C$1:$C$676,0),MATCH($O$1,'Base de dados IHS'!$A$1:$V$1,0))</f>
        <v>1256563.3075111001</v>
      </c>
      <c r="P47" s="11">
        <f>INDEX('Base de dados IHS'!$A$1:$V$676,MATCH($N47,'Base de dados IHS'!$C$1:$C$676,0),MATCH($P$1,'Base de dados IHS'!$A$1:$V$1,0))</f>
        <v>1430586.2916371</v>
      </c>
      <c r="Q47" s="131">
        <f>INDEX('Base de dados IHS'!$A$1:$V$676,MATCH($N47,'Base de dados IHS'!$C$1:$C$676,0),MATCH($Q$1,'Base de dados IHS'!$A$1:$V$1,0))</f>
        <v>4.5841729757409105E-4</v>
      </c>
      <c r="R47" s="131">
        <f>INDEX('Base de dados IHS'!$A$1:$V$676,MATCH($N47,'Base de dados IHS'!$C$1:$C$676,0),MATCH($R$1,'Base de dados IHS'!$A$1:$V$1,0))</f>
        <v>3.165379940498351E-4</v>
      </c>
      <c r="S47" s="131">
        <f>INDEX('Base de dados IHS'!$A$1:$V$676,MATCH($N47,'Base de dados IHS'!$C$1:$C$676,0),MATCH($S$1,'Base de dados IHS'!$A$1:$V$1,0))</f>
        <v>-1.4187930352425594E-4</v>
      </c>
      <c r="T47" t="str">
        <f>IF(Q47&lt;'Cenario A ranking setor PIB'!$G$58,"N","Y")</f>
        <v>N</v>
      </c>
    </row>
    <row r="48" spans="1:20" hidden="1" x14ac:dyDescent="0.45">
      <c r="A48" s="293" t="s">
        <v>161</v>
      </c>
      <c r="B48" s="297" t="s">
        <v>7</v>
      </c>
      <c r="C48" s="297" t="s">
        <v>958</v>
      </c>
      <c r="D48" s="311">
        <v>1109.53330951</v>
      </c>
      <c r="E48" s="311">
        <v>1467.9464676499999</v>
      </c>
      <c r="F48" s="302">
        <f t="shared" si="3"/>
        <v>0.32303055263684244</v>
      </c>
      <c r="G48" s="311">
        <v>1392.8419550599999</v>
      </c>
      <c r="H48" s="311">
        <v>1467.9464676499999</v>
      </c>
      <c r="I48" s="302">
        <f t="shared" si="4"/>
        <v>5.3921776492412477E-2</v>
      </c>
      <c r="J48" s="311">
        <v>1331.8036678399999</v>
      </c>
      <c r="K48" s="311">
        <v>1221.4068718599999</v>
      </c>
      <c r="L48" s="311">
        <v>1120.0091728299999</v>
      </c>
      <c r="M48" s="312">
        <v>1120.8256528300001</v>
      </c>
      <c r="N48" t="str">
        <f t="shared" si="5"/>
        <v>PortugalManufacture of motor vehicles, trailers and semi-trailers (C29)</v>
      </c>
      <c r="O48" s="11">
        <f>INDEX('Base de dados IHS'!$A$1:$V$676,MATCH($N48,'Base de dados IHS'!$C$1:$C$676,0),MATCH($O$1,'Base de dados IHS'!$A$1:$V$1,0))</f>
        <v>215192.52938671</v>
      </c>
      <c r="P48" s="11">
        <f>INDEX('Base de dados IHS'!$A$1:$V$676,MATCH($N48,'Base de dados IHS'!$C$1:$C$676,0),MATCH($P$1,'Base de dados IHS'!$A$1:$V$1,0))</f>
        <v>232686.90641277001</v>
      </c>
      <c r="Q48" s="131">
        <f>INDEX('Base de dados IHS'!$A$1:$V$676,MATCH($N48,'Base de dados IHS'!$C$1:$C$676,0),MATCH($Q$1,'Base de dados IHS'!$A$1:$V$1,0))</f>
        <v>6.4725386100974005E-3</v>
      </c>
      <c r="R48" s="131">
        <f>INDEX('Base de dados IHS'!$A$1:$V$676,MATCH($N48,'Base de dados IHS'!$C$1:$C$676,0),MATCH($R$1,'Base de dados IHS'!$A$1:$V$1,0))</f>
        <v>6.3086767118987232E-3</v>
      </c>
      <c r="S48" s="131">
        <f>INDEX('Base de dados IHS'!$A$1:$V$676,MATCH($N48,'Base de dados IHS'!$C$1:$C$676,0),MATCH($S$1,'Base de dados IHS'!$A$1:$V$1,0))</f>
        <v>-1.6386189819867728E-4</v>
      </c>
      <c r="T48" t="str">
        <f>IF(Q48&lt;'Cenario A ranking setor PIB'!$G$58,"N","Y")</f>
        <v>N</v>
      </c>
    </row>
    <row r="49" spans="1:20" hidden="1" x14ac:dyDescent="0.45">
      <c r="A49" s="293" t="s">
        <v>152</v>
      </c>
      <c r="B49" s="297" t="s">
        <v>7</v>
      </c>
      <c r="C49" s="297" t="s">
        <v>958</v>
      </c>
      <c r="D49" s="311">
        <v>556.00498488999995</v>
      </c>
      <c r="E49" s="311">
        <v>654.99167657999999</v>
      </c>
      <c r="F49" s="302">
        <f t="shared" si="3"/>
        <v>0.17803202197833445</v>
      </c>
      <c r="G49" s="311">
        <v>633.43224683999995</v>
      </c>
      <c r="H49" s="311">
        <v>654.99167657999999</v>
      </c>
      <c r="I49" s="302">
        <f t="shared" si="4"/>
        <v>3.4035889153975818E-2</v>
      </c>
      <c r="J49" s="311">
        <v>913.97040319999996</v>
      </c>
      <c r="K49" s="311">
        <v>1097.9194094100001</v>
      </c>
      <c r="L49" s="311">
        <v>1198.9771655899999</v>
      </c>
      <c r="M49" s="312">
        <v>1408.6078362600001</v>
      </c>
      <c r="N49" t="str">
        <f t="shared" si="5"/>
        <v>ColombiaManufacture of motor vehicles, trailers and semi-trailers (C29)</v>
      </c>
      <c r="O49" s="11">
        <f>INDEX('Base de dados IHS'!$A$1:$V$676,MATCH($N49,'Base de dados IHS'!$C$1:$C$676,0),MATCH($O$1,'Base de dados IHS'!$A$1:$V$1,0))</f>
        <v>295018.32730579999</v>
      </c>
      <c r="P49" s="11">
        <f>INDEX('Base de dados IHS'!$A$1:$V$676,MATCH($N49,'Base de dados IHS'!$C$1:$C$676,0),MATCH($P$1,'Base de dados IHS'!$A$1:$V$1,0))</f>
        <v>332655.81031924998</v>
      </c>
      <c r="Q49" s="131">
        <f>INDEX('Base de dados IHS'!$A$1:$V$676,MATCH($N49,'Base de dados IHS'!$C$1:$C$676,0),MATCH($Q$1,'Base de dados IHS'!$A$1:$V$1,0))</f>
        <v>2.1470945640045557E-3</v>
      </c>
      <c r="R49" s="131">
        <f>INDEX('Base de dados IHS'!$A$1:$V$676,MATCH($N49,'Base de dados IHS'!$C$1:$C$676,0),MATCH($R$1,'Base de dados IHS'!$A$1:$V$1,0))</f>
        <v>1.9689771116620631E-3</v>
      </c>
      <c r="S49" s="131">
        <f>INDEX('Base de dados IHS'!$A$1:$V$676,MATCH($N49,'Base de dados IHS'!$C$1:$C$676,0),MATCH($S$1,'Base de dados IHS'!$A$1:$V$1,0))</f>
        <v>-1.7811745234249266E-4</v>
      </c>
      <c r="T49" t="str">
        <f>IF(Q49&lt;'Cenario A ranking setor PIB'!$G$58,"N","Y")</f>
        <v>N</v>
      </c>
    </row>
    <row r="50" spans="1:20" hidden="1" x14ac:dyDescent="0.45">
      <c r="A50" s="293" t="s">
        <v>154</v>
      </c>
      <c r="B50" s="297" t="s">
        <v>7</v>
      </c>
      <c r="C50" s="297" t="s">
        <v>958</v>
      </c>
      <c r="D50" s="311">
        <v>529.42291221999994</v>
      </c>
      <c r="E50" s="311">
        <v>820.22891150999999</v>
      </c>
      <c r="F50" s="302">
        <f t="shared" si="3"/>
        <v>0.54928865483093525</v>
      </c>
      <c r="G50" s="311">
        <v>697.08157228000005</v>
      </c>
      <c r="H50" s="311">
        <v>820.22891150999999</v>
      </c>
      <c r="I50" s="302">
        <f t="shared" si="4"/>
        <v>0.17666130353613019</v>
      </c>
      <c r="J50" s="311">
        <v>877.36844437000002</v>
      </c>
      <c r="K50" s="311">
        <v>1130.47427356</v>
      </c>
      <c r="L50" s="311">
        <v>1278.01809108</v>
      </c>
      <c r="M50" s="312">
        <v>1628.4119550099999</v>
      </c>
      <c r="N50" t="str">
        <f t="shared" si="5"/>
        <v>PakistanManufacture of motor vehicles, trailers and semi-trailers (C29)</v>
      </c>
      <c r="O50" s="11">
        <f>INDEX('Base de dados IHS'!$A$1:$V$676,MATCH($N50,'Base de dados IHS'!$C$1:$C$676,0),MATCH($O$1,'Base de dados IHS'!$A$1:$V$1,0))</f>
        <v>243681.57424943999</v>
      </c>
      <c r="P50" s="11">
        <f>INDEX('Base de dados IHS'!$A$1:$V$676,MATCH($N50,'Base de dados IHS'!$C$1:$C$676,0),MATCH($P$1,'Base de dados IHS'!$A$1:$V$1,0))</f>
        <v>307178.14587732003</v>
      </c>
      <c r="Q50" s="131">
        <f>INDEX('Base de dados IHS'!$A$1:$V$676,MATCH($N50,'Base de dados IHS'!$C$1:$C$676,0),MATCH($Q$1,'Base de dados IHS'!$A$1:$V$1,0))</f>
        <v>2.8606248725496406E-3</v>
      </c>
      <c r="R50" s="131">
        <f>INDEX('Base de dados IHS'!$A$1:$V$676,MATCH($N50,'Base de dados IHS'!$C$1:$C$676,0),MATCH($R$1,'Base de dados IHS'!$A$1:$V$1,0))</f>
        <v>2.6702059456976501E-3</v>
      </c>
      <c r="S50" s="131">
        <f>INDEX('Base de dados IHS'!$A$1:$V$676,MATCH($N50,'Base de dados IHS'!$C$1:$C$676,0),MATCH($S$1,'Base de dados IHS'!$A$1:$V$1,0))</f>
        <v>-1.9041892685199048E-4</v>
      </c>
      <c r="T50" t="str">
        <f>IF(Q50&lt;'Cenario A ranking setor PIB'!$G$58,"N","Y")</f>
        <v>N</v>
      </c>
    </row>
    <row r="51" spans="1:20" x14ac:dyDescent="0.45">
      <c r="A51" s="293" t="s">
        <v>179</v>
      </c>
      <c r="B51" s="297" t="s">
        <v>7</v>
      </c>
      <c r="C51" s="297" t="s">
        <v>958</v>
      </c>
      <c r="D51" s="311">
        <v>685177.29793137999</v>
      </c>
      <c r="E51" s="311">
        <v>1005001.2017428</v>
      </c>
      <c r="F51" s="302">
        <f t="shared" si="3"/>
        <v>0.46677539488976194</v>
      </c>
      <c r="G51" s="311">
        <v>879318.56851934001</v>
      </c>
      <c r="H51" s="311">
        <v>1005001.2017428</v>
      </c>
      <c r="I51" s="302">
        <f t="shared" si="4"/>
        <v>0.14293185396402297</v>
      </c>
      <c r="J51" s="311">
        <v>1186241.8429783001</v>
      </c>
      <c r="K51" s="311">
        <v>1239942.3061049001</v>
      </c>
      <c r="L51" s="311">
        <v>1264388.4508322</v>
      </c>
      <c r="M51" s="312">
        <v>1317763.1141939</v>
      </c>
      <c r="N51" t="str">
        <f t="shared" si="5"/>
        <v>WorldManufacture of motor vehicles, trailers and semi-trailers (C29)</v>
      </c>
      <c r="O51" s="11">
        <f>INDEX('Base de dados IHS'!$A$1:$V$676,MATCH($N51,'Base de dados IHS'!$C$1:$C$676,0),MATCH($O$1,'Base de dados IHS'!$A$1:$V$1,0))</f>
        <v>74892116.540485993</v>
      </c>
      <c r="P51" s="11">
        <f>INDEX('Base de dados IHS'!$A$1:$V$676,MATCH($N51,'Base de dados IHS'!$C$1:$C$676,0),MATCH($P$1,'Base de dados IHS'!$A$1:$V$1,0))</f>
        <v>87029234.955234006</v>
      </c>
      <c r="Q51" s="131">
        <f>INDEX('Base de dados IHS'!$A$1:$V$676,MATCH($N51,'Base de dados IHS'!$C$1:$C$676,0),MATCH($Q$1,'Base de dados IHS'!$A$1:$V$1,0))</f>
        <v>1.1741136572685704E-2</v>
      </c>
      <c r="R51" s="131">
        <f>INDEX('Base de dados IHS'!$A$1:$V$676,MATCH($N51,'Base de dados IHS'!$C$1:$C$676,0),MATCH($R$1,'Base de dados IHS'!$A$1:$V$1,0))</f>
        <v>1.1547857478693812E-2</v>
      </c>
      <c r="S51" s="131">
        <f>INDEX('Base de dados IHS'!$A$1:$V$676,MATCH($N51,'Base de dados IHS'!$C$1:$C$676,0),MATCH($S$1,'Base de dados IHS'!$A$1:$V$1,0))</f>
        <v>-1.9327909399189172E-4</v>
      </c>
      <c r="T51" t="str">
        <f>IF(Q51&lt;'Cenario A ranking setor PIB'!$G$58,"N","Y")</f>
        <v>Y</v>
      </c>
    </row>
    <row r="52" spans="1:20" hidden="1" x14ac:dyDescent="0.45">
      <c r="A52" s="293" t="s">
        <v>163</v>
      </c>
      <c r="B52" s="297" t="s">
        <v>7</v>
      </c>
      <c r="C52" s="297" t="s">
        <v>958</v>
      </c>
      <c r="D52" s="311">
        <v>351.74067843</v>
      </c>
      <c r="E52" s="311">
        <v>380.54646174999999</v>
      </c>
      <c r="F52" s="302">
        <f t="shared" si="3"/>
        <v>8.1894944447639784E-2</v>
      </c>
      <c r="G52" s="311">
        <v>347.13518049999999</v>
      </c>
      <c r="H52" s="311">
        <v>380.54646174999999</v>
      </c>
      <c r="I52" s="302">
        <f t="shared" si="4"/>
        <v>9.6248617618864385E-2</v>
      </c>
      <c r="J52" s="311">
        <v>343.83090113999998</v>
      </c>
      <c r="K52" s="311">
        <v>359.17339909999998</v>
      </c>
      <c r="L52" s="311">
        <v>356.06524926999998</v>
      </c>
      <c r="M52" s="312">
        <v>343.11699759999999</v>
      </c>
      <c r="N52" t="str">
        <f t="shared" si="5"/>
        <v>New ZealandManufacture of motor vehicles, trailers and semi-trailers (C29)</v>
      </c>
      <c r="O52" s="11">
        <f>INDEX('Base de dados IHS'!$A$1:$V$676,MATCH($N52,'Base de dados IHS'!$C$1:$C$676,0),MATCH($O$1,'Base de dados IHS'!$A$1:$V$1,0))</f>
        <v>180884.85070677</v>
      </c>
      <c r="P52" s="11">
        <f>INDEX('Base de dados IHS'!$A$1:$V$676,MATCH($N52,'Base de dados IHS'!$C$1:$C$676,0),MATCH($P$1,'Base de dados IHS'!$A$1:$V$1,0))</f>
        <v>220909.49174857</v>
      </c>
      <c r="Q52" s="131">
        <f>INDEX('Base de dados IHS'!$A$1:$V$676,MATCH($N52,'Base de dados IHS'!$C$1:$C$676,0),MATCH($Q$1,'Base de dados IHS'!$A$1:$V$1,0))</f>
        <v>1.9190948227208711E-3</v>
      </c>
      <c r="R52" s="131">
        <f>INDEX('Base de dados IHS'!$A$1:$V$676,MATCH($N52,'Base de dados IHS'!$C$1:$C$676,0),MATCH($R$1,'Base de dados IHS'!$A$1:$V$1,0))</f>
        <v>1.7226351784970931E-3</v>
      </c>
      <c r="S52" s="131">
        <f>INDEX('Base de dados IHS'!$A$1:$V$676,MATCH($N52,'Base de dados IHS'!$C$1:$C$676,0),MATCH($S$1,'Base de dados IHS'!$A$1:$V$1,0))</f>
        <v>-1.9645964422377801E-4</v>
      </c>
      <c r="T52" t="str">
        <f>IF(Q52&lt;'Cenario A ranking setor PIB'!$G$58,"N","Y")</f>
        <v>N</v>
      </c>
    </row>
    <row r="53" spans="1:20" hidden="1" x14ac:dyDescent="0.45">
      <c r="A53" s="293" t="s">
        <v>102</v>
      </c>
      <c r="B53" s="297" t="s">
        <v>7</v>
      </c>
      <c r="C53" s="297" t="s">
        <v>958</v>
      </c>
      <c r="D53" s="311">
        <v>200.35679758000001</v>
      </c>
      <c r="E53" s="311">
        <v>381.72623198000002</v>
      </c>
      <c r="F53" s="302">
        <f t="shared" si="3"/>
        <v>0.90523224862176899</v>
      </c>
      <c r="G53" s="311">
        <v>473.65894972000001</v>
      </c>
      <c r="H53" s="311">
        <v>381.72623198000002</v>
      </c>
      <c r="I53" s="302">
        <f t="shared" si="4"/>
        <v>-0.19409053242706664</v>
      </c>
      <c r="J53" s="311">
        <v>433.92211516999998</v>
      </c>
      <c r="K53" s="311">
        <v>485.42220804999999</v>
      </c>
      <c r="L53" s="311">
        <v>533.64670625999997</v>
      </c>
      <c r="M53" s="312">
        <v>653.85512668000001</v>
      </c>
      <c r="N53" t="str">
        <f t="shared" si="5"/>
        <v>NigeriaManufacture of motor vehicles, trailers and semi-trailers (C29)</v>
      </c>
      <c r="O53" s="11">
        <f>INDEX('Base de dados IHS'!$A$1:$V$676,MATCH($N53,'Base de dados IHS'!$C$1:$C$676,0),MATCH($O$1,'Base de dados IHS'!$A$1:$V$1,0))</f>
        <v>460034.71302222001</v>
      </c>
      <c r="P53" s="11">
        <f>INDEX('Base de dados IHS'!$A$1:$V$676,MATCH($N53,'Base de dados IHS'!$C$1:$C$676,0),MATCH($P$1,'Base de dados IHS'!$A$1:$V$1,0))</f>
        <v>483780.49839321</v>
      </c>
      <c r="Q53" s="131">
        <f>INDEX('Base de dados IHS'!$A$1:$V$676,MATCH($N53,'Base de dados IHS'!$C$1:$C$676,0),MATCH($Q$1,'Base de dados IHS'!$A$1:$V$1,0))</f>
        <v>1.0296156709746422E-3</v>
      </c>
      <c r="R53" s="131">
        <f>INDEX('Base de dados IHS'!$A$1:$V$676,MATCH($N53,'Base de dados IHS'!$C$1:$C$676,0),MATCH($R$1,'Base de dados IHS'!$A$1:$V$1,0))</f>
        <v>7.8904840779617019E-4</v>
      </c>
      <c r="S53" s="131">
        <f>INDEX('Base de dados IHS'!$A$1:$V$676,MATCH($N53,'Base de dados IHS'!$C$1:$C$676,0),MATCH($S$1,'Base de dados IHS'!$A$1:$V$1,0))</f>
        <v>-2.4056726317847198E-4</v>
      </c>
      <c r="T53" t="str">
        <f>IF(Q53&lt;'Cenario A ranking setor PIB'!$G$58,"N","Y")</f>
        <v>N</v>
      </c>
    </row>
    <row r="54" spans="1:20" hidden="1" x14ac:dyDescent="0.45">
      <c r="A54" s="293" t="s">
        <v>166</v>
      </c>
      <c r="B54" s="297" t="s">
        <v>7</v>
      </c>
      <c r="C54" s="297" t="s">
        <v>958</v>
      </c>
      <c r="D54" s="311">
        <v>92.507808280000006</v>
      </c>
      <c r="E54" s="311">
        <v>116.16248136999999</v>
      </c>
      <c r="F54" s="302">
        <f t="shared" si="3"/>
        <v>0.25570461056003713</v>
      </c>
      <c r="G54" s="311">
        <v>102.90448492</v>
      </c>
      <c r="H54" s="311">
        <v>116.16248136999999</v>
      </c>
      <c r="I54" s="302">
        <f t="shared" si="4"/>
        <v>0.128837887486702</v>
      </c>
      <c r="J54" s="311">
        <v>140.69816301</v>
      </c>
      <c r="K54" s="311">
        <v>162.54378283</v>
      </c>
      <c r="L54" s="311">
        <v>181.4645471</v>
      </c>
      <c r="M54" s="312">
        <v>235.26462857999999</v>
      </c>
      <c r="N54" t="str">
        <f t="shared" si="5"/>
        <v>HondurasManufacture of motor vehicles, trailers and semi-trailers (C29)</v>
      </c>
      <c r="O54" s="11">
        <f>INDEX('Base de dados IHS'!$A$1:$V$676,MATCH($N54,'Base de dados IHS'!$C$1:$C$676,0),MATCH($O$1,'Base de dados IHS'!$A$1:$V$1,0))</f>
        <v>21608.112082880001</v>
      </c>
      <c r="P54" s="11">
        <f>INDEX('Base de dados IHS'!$A$1:$V$676,MATCH($N54,'Base de dados IHS'!$C$1:$C$676,0),MATCH($P$1,'Base de dados IHS'!$A$1:$V$1,0))</f>
        <v>25703.55773198</v>
      </c>
      <c r="Q54" s="131">
        <f>INDEX('Base de dados IHS'!$A$1:$V$676,MATCH($N54,'Base de dados IHS'!$C$1:$C$676,0),MATCH($Q$1,'Base de dados IHS'!$A$1:$V$1,0))</f>
        <v>4.7623079945762923E-3</v>
      </c>
      <c r="R54" s="131">
        <f>INDEX('Base de dados IHS'!$A$1:$V$676,MATCH($N54,'Base de dados IHS'!$C$1:$C$676,0),MATCH($R$1,'Base de dados IHS'!$A$1:$V$1,0))</f>
        <v>4.5193152862832014E-3</v>
      </c>
      <c r="S54" s="131">
        <f>INDEX('Base de dados IHS'!$A$1:$V$676,MATCH($N54,'Base de dados IHS'!$C$1:$C$676,0),MATCH($S$1,'Base de dados IHS'!$A$1:$V$1,0))</f>
        <v>-2.4299270829309088E-4</v>
      </c>
      <c r="T54" t="str">
        <f>IF(Q54&lt;'Cenario A ranking setor PIB'!$G$58,"N","Y")</f>
        <v>N</v>
      </c>
    </row>
    <row r="55" spans="1:20" hidden="1" x14ac:dyDescent="0.45">
      <c r="A55" s="293" t="s">
        <v>123</v>
      </c>
      <c r="B55" s="297" t="s">
        <v>7</v>
      </c>
      <c r="C55" s="297" t="s">
        <v>958</v>
      </c>
      <c r="D55" s="311">
        <v>466.12888332</v>
      </c>
      <c r="E55" s="311">
        <v>311.45303904000002</v>
      </c>
      <c r="F55" s="302">
        <f t="shared" si="3"/>
        <v>-0.33183063700820736</v>
      </c>
      <c r="G55" s="311">
        <v>339.35752599</v>
      </c>
      <c r="H55" s="311">
        <v>311.45303904000002</v>
      </c>
      <c r="I55" s="302">
        <f t="shared" si="4"/>
        <v>-8.2227399756627961E-2</v>
      </c>
      <c r="J55" s="311">
        <v>359.55426822999999</v>
      </c>
      <c r="K55" s="311">
        <v>352.75368004000001</v>
      </c>
      <c r="L55" s="311">
        <v>356.95971317999999</v>
      </c>
      <c r="M55" s="312">
        <v>398.07377858000001</v>
      </c>
      <c r="N55" t="str">
        <f t="shared" si="5"/>
        <v>IsraelManufacture of motor vehicles, trailers and semi-trailers (C29)</v>
      </c>
      <c r="O55" s="11">
        <f>INDEX('Base de dados IHS'!$A$1:$V$676,MATCH($N55,'Base de dados IHS'!$C$1:$C$676,0),MATCH($O$1,'Base de dados IHS'!$A$1:$V$1,0))</f>
        <v>339252.33917334001</v>
      </c>
      <c r="P55" s="11">
        <f>INDEX('Base de dados IHS'!$A$1:$V$676,MATCH($N55,'Base de dados IHS'!$C$1:$C$676,0),MATCH($P$1,'Base de dados IHS'!$A$1:$V$1,0))</f>
        <v>430314.68651226</v>
      </c>
      <c r="Q55" s="131">
        <f>INDEX('Base de dados IHS'!$A$1:$V$676,MATCH($N55,'Base de dados IHS'!$C$1:$C$676,0),MATCH($Q$1,'Base de dados IHS'!$A$1:$V$1,0))</f>
        <v>1.0003100548014387E-3</v>
      </c>
      <c r="R55" s="131">
        <f>INDEX('Base de dados IHS'!$A$1:$V$676,MATCH($N55,'Base de dados IHS'!$C$1:$C$676,0),MATCH($R$1,'Base de dados IHS'!$A$1:$V$1,0))</f>
        <v>7.2377971006371054E-4</v>
      </c>
      <c r="S55" s="131">
        <f>INDEX('Base de dados IHS'!$A$1:$V$676,MATCH($N55,'Base de dados IHS'!$C$1:$C$676,0),MATCH($S$1,'Base de dados IHS'!$A$1:$V$1,0))</f>
        <v>-2.7653034473772815E-4</v>
      </c>
      <c r="T55" t="str">
        <f>IF(Q55&lt;'Cenario A ranking setor PIB'!$G$58,"N","Y")</f>
        <v>N</v>
      </c>
    </row>
    <row r="56" spans="1:20" hidden="1" x14ac:dyDescent="0.45">
      <c r="A56" s="293" t="s">
        <v>145</v>
      </c>
      <c r="B56" s="297" t="s">
        <v>7</v>
      </c>
      <c r="C56" s="297" t="s">
        <v>958</v>
      </c>
      <c r="D56" s="311">
        <v>2390.5788450599998</v>
      </c>
      <c r="E56" s="311">
        <v>2788.5947671700001</v>
      </c>
      <c r="F56" s="302">
        <f t="shared" si="3"/>
        <v>0.16649353479073836</v>
      </c>
      <c r="G56" s="311">
        <v>2859.9293809000001</v>
      </c>
      <c r="H56" s="311">
        <v>2788.5947671700001</v>
      </c>
      <c r="I56" s="302">
        <f t="shared" si="4"/>
        <v>-2.4942788520026848E-2</v>
      </c>
      <c r="J56" s="311">
        <v>2904.5309765299999</v>
      </c>
      <c r="K56" s="311">
        <v>2681.44031141</v>
      </c>
      <c r="L56" s="311">
        <v>2493.9624735500001</v>
      </c>
      <c r="M56" s="312">
        <v>2601.3695269499999</v>
      </c>
      <c r="N56" t="str">
        <f t="shared" si="5"/>
        <v>South AfricaManufacture of motor vehicles, trailers and semi-trailers (C29)</v>
      </c>
      <c r="O56" s="11">
        <f>INDEX('Base de dados IHS'!$A$1:$V$676,MATCH($N56,'Base de dados IHS'!$C$1:$C$676,0),MATCH($O$1,'Base de dados IHS'!$A$1:$V$1,0))</f>
        <v>375376.48654821003</v>
      </c>
      <c r="P56" s="11">
        <f>INDEX('Base de dados IHS'!$A$1:$V$676,MATCH($N56,'Base de dados IHS'!$C$1:$C$676,0),MATCH($P$1,'Base de dados IHS'!$A$1:$V$1,0))</f>
        <v>383209.69906191999</v>
      </c>
      <c r="Q56" s="131">
        <f>INDEX('Base de dados IHS'!$A$1:$V$676,MATCH($N56,'Base de dados IHS'!$C$1:$C$676,0),MATCH($Q$1,'Base de dados IHS'!$A$1:$V$1,0))</f>
        <v>7.6188293177300442E-3</v>
      </c>
      <c r="R56" s="131">
        <f>INDEX('Base de dados IHS'!$A$1:$V$676,MATCH($N56,'Base de dados IHS'!$C$1:$C$676,0),MATCH($R$1,'Base de dados IHS'!$A$1:$V$1,0))</f>
        <v>7.2769420345997343E-3</v>
      </c>
      <c r="S56" s="131">
        <f>INDEX('Base de dados IHS'!$A$1:$V$676,MATCH($N56,'Base de dados IHS'!$C$1:$C$676,0),MATCH($S$1,'Base de dados IHS'!$A$1:$V$1,0))</f>
        <v>-3.4188728313030992E-4</v>
      </c>
      <c r="T56" t="str">
        <f>IF(Q56&lt;'Cenario A ranking setor PIB'!$G$58,"N","Y")</f>
        <v>N</v>
      </c>
    </row>
    <row r="57" spans="1:20" hidden="1" x14ac:dyDescent="0.45">
      <c r="A57" s="293" t="s">
        <v>160</v>
      </c>
      <c r="B57" s="297" t="s">
        <v>7</v>
      </c>
      <c r="C57" s="297" t="s">
        <v>958</v>
      </c>
      <c r="D57" s="311">
        <v>218.69468744</v>
      </c>
      <c r="E57" s="311">
        <v>283.14145151000002</v>
      </c>
      <c r="F57" s="302">
        <f t="shared" si="3"/>
        <v>0.2946882927262755</v>
      </c>
      <c r="G57" s="311">
        <v>265.25236021000001</v>
      </c>
      <c r="H57" s="311">
        <v>283.14145151000002</v>
      </c>
      <c r="I57" s="302">
        <f t="shared" si="4"/>
        <v>6.7441779917951417E-2</v>
      </c>
      <c r="J57" s="311">
        <v>399.58956189000003</v>
      </c>
      <c r="K57" s="311">
        <v>436.84202578999998</v>
      </c>
      <c r="L57" s="311">
        <v>460.86095681</v>
      </c>
      <c r="M57" s="312">
        <v>510.23012931</v>
      </c>
      <c r="N57" t="str">
        <f t="shared" si="5"/>
        <v>BulgariaManufacture of motor vehicles, trailers and semi-trailers (C29)</v>
      </c>
      <c r="O57" s="11">
        <f>INDEX('Base de dados IHS'!$A$1:$V$676,MATCH($N57,'Base de dados IHS'!$C$1:$C$676,0),MATCH($O$1,'Base de dados IHS'!$A$1:$V$1,0))</f>
        <v>60854.013563</v>
      </c>
      <c r="P57" s="11">
        <f>INDEX('Base de dados IHS'!$A$1:$V$676,MATCH($N57,'Base de dados IHS'!$C$1:$C$676,0),MATCH($P$1,'Base de dados IHS'!$A$1:$V$1,0))</f>
        <v>70836.911882080007</v>
      </c>
      <c r="Q57" s="131">
        <f>INDEX('Base de dados IHS'!$A$1:$V$676,MATCH($N57,'Base de dados IHS'!$C$1:$C$676,0),MATCH($Q$1,'Base de dados IHS'!$A$1:$V$1,0))</f>
        <v>4.3588309904225731E-3</v>
      </c>
      <c r="R57" s="131">
        <f>INDEX('Base de dados IHS'!$A$1:$V$676,MATCH($N57,'Base de dados IHS'!$C$1:$C$676,0),MATCH($R$1,'Base de dados IHS'!$A$1:$V$1,0))</f>
        <v>3.9970891444468491E-3</v>
      </c>
      <c r="S57" s="131">
        <f>INDEX('Base de dados IHS'!$A$1:$V$676,MATCH($N57,'Base de dados IHS'!$C$1:$C$676,0),MATCH($S$1,'Base de dados IHS'!$A$1:$V$1,0))</f>
        <v>-3.6174184597572399E-4</v>
      </c>
      <c r="T57" t="str">
        <f>IF(Q57&lt;'Cenario A ranking setor PIB'!$G$58,"N","Y")</f>
        <v>N</v>
      </c>
    </row>
    <row r="58" spans="1:20" hidden="1" x14ac:dyDescent="0.45">
      <c r="A58" s="293" t="s">
        <v>148</v>
      </c>
      <c r="B58" s="297" t="s">
        <v>7</v>
      </c>
      <c r="C58" s="297" t="s">
        <v>958</v>
      </c>
      <c r="D58" s="311">
        <v>151.19340341</v>
      </c>
      <c r="E58" s="311">
        <v>178.54915260000001</v>
      </c>
      <c r="F58" s="302">
        <f t="shared" si="3"/>
        <v>0.18093216088150244</v>
      </c>
      <c r="G58" s="311">
        <v>177.64683628</v>
      </c>
      <c r="H58" s="311">
        <v>178.54915260000001</v>
      </c>
      <c r="I58" s="302">
        <f t="shared" si="4"/>
        <v>5.0792704159268176E-3</v>
      </c>
      <c r="J58" s="311">
        <v>201.11760622</v>
      </c>
      <c r="K58" s="311">
        <v>214.47013720000001</v>
      </c>
      <c r="L58" s="311">
        <v>225.71578887999999</v>
      </c>
      <c r="M58" s="312">
        <v>250.39547214000001</v>
      </c>
      <c r="N58" t="str">
        <f t="shared" si="5"/>
        <v>BahrainManufacture of motor vehicles, trailers and semi-trailers (C29)</v>
      </c>
      <c r="O58" s="11">
        <f>INDEX('Base de dados IHS'!$A$1:$V$676,MATCH($N58,'Base de dados IHS'!$C$1:$C$676,0),MATCH($O$1,'Base de dados IHS'!$A$1:$V$1,0))</f>
        <v>33332.328188890002</v>
      </c>
      <c r="P58" s="11">
        <f>INDEX('Base de dados IHS'!$A$1:$V$676,MATCH($N58,'Base de dados IHS'!$C$1:$C$676,0),MATCH($P$1,'Base de dados IHS'!$A$1:$V$1,0))</f>
        <v>36767.801730239997</v>
      </c>
      <c r="Q58" s="131">
        <f>INDEX('Base de dados IHS'!$A$1:$V$676,MATCH($N58,'Base de dados IHS'!$C$1:$C$676,0),MATCH($Q$1,'Base de dados IHS'!$A$1:$V$1,0))</f>
        <v>5.329565797903414E-3</v>
      </c>
      <c r="R58" s="131">
        <f>INDEX('Base de dados IHS'!$A$1:$V$676,MATCH($N58,'Base de dados IHS'!$C$1:$C$676,0),MATCH($R$1,'Base de dados IHS'!$A$1:$V$1,0))</f>
        <v>4.8561280304432975E-3</v>
      </c>
      <c r="S58" s="131">
        <f>INDEX('Base de dados IHS'!$A$1:$V$676,MATCH($N58,'Base de dados IHS'!$C$1:$C$676,0),MATCH($S$1,'Base de dados IHS'!$A$1:$V$1,0))</f>
        <v>-4.7343776746011645E-4</v>
      </c>
      <c r="T58" t="str">
        <f>IF(Q58&lt;'Cenario A ranking setor PIB'!$G$58,"N","Y")</f>
        <v>N</v>
      </c>
    </row>
    <row r="59" spans="1:20" hidden="1" x14ac:dyDescent="0.45">
      <c r="A59" s="293" t="s">
        <v>142</v>
      </c>
      <c r="B59" s="297" t="s">
        <v>7</v>
      </c>
      <c r="C59" s="297" t="s">
        <v>958</v>
      </c>
      <c r="D59" s="311">
        <v>3700.2394959200001</v>
      </c>
      <c r="E59" s="311">
        <v>2483.8689360899998</v>
      </c>
      <c r="F59" s="302">
        <f t="shared" si="3"/>
        <v>-0.32872752187289733</v>
      </c>
      <c r="G59" s="311">
        <v>2821.00529783</v>
      </c>
      <c r="H59" s="311">
        <v>2483.8689360899998</v>
      </c>
      <c r="I59" s="302">
        <f t="shared" si="4"/>
        <v>-0.1195092976249762</v>
      </c>
      <c r="J59" s="311">
        <v>2736.9746549199999</v>
      </c>
      <c r="K59" s="311">
        <v>3107.73899308</v>
      </c>
      <c r="L59" s="311">
        <v>3132.8495269199998</v>
      </c>
      <c r="M59" s="312">
        <v>3501.51284179</v>
      </c>
      <c r="N59" t="str">
        <f t="shared" si="5"/>
        <v>ArgentinaManufacture of motor vehicles, trailers and semi-trailers (C29)</v>
      </c>
      <c r="O59" s="11">
        <f>INDEX('Base de dados IHS'!$A$1:$V$676,MATCH($N59,'Base de dados IHS'!$C$1:$C$676,0),MATCH($O$1,'Base de dados IHS'!$A$1:$V$1,0))</f>
        <v>464976.94374428003</v>
      </c>
      <c r="P59" s="11">
        <f>INDEX('Base de dados IHS'!$A$1:$V$676,MATCH($N59,'Base de dados IHS'!$C$1:$C$676,0),MATCH($P$1,'Base de dados IHS'!$A$1:$V$1,0))</f>
        <v>445673.70595729002</v>
      </c>
      <c r="Q59" s="131">
        <f>INDEX('Base de dados IHS'!$A$1:$V$676,MATCH($N59,'Base de dados IHS'!$C$1:$C$676,0),MATCH($Q$1,'Base de dados IHS'!$A$1:$V$1,0))</f>
        <v>6.0669788809602733E-3</v>
      </c>
      <c r="R59" s="131">
        <f>INDEX('Base de dados IHS'!$A$1:$V$676,MATCH($N59,'Base de dados IHS'!$C$1:$C$676,0),MATCH($R$1,'Base de dados IHS'!$A$1:$V$1,0))</f>
        <v>5.5732902858936775E-3</v>
      </c>
      <c r="S59" s="131">
        <f>INDEX('Base de dados IHS'!$A$1:$V$676,MATCH($N59,'Base de dados IHS'!$C$1:$C$676,0),MATCH($S$1,'Base de dados IHS'!$A$1:$V$1,0))</f>
        <v>-4.9368859506659576E-4</v>
      </c>
      <c r="T59" t="str">
        <f>IF(Q59&lt;'Cenario A ranking setor PIB'!$G$58,"N","Y")</f>
        <v>N</v>
      </c>
    </row>
    <row r="60" spans="1:20" hidden="1" x14ac:dyDescent="0.45">
      <c r="A60" s="293" t="s">
        <v>77</v>
      </c>
      <c r="B60" s="297" t="s">
        <v>7</v>
      </c>
      <c r="C60" s="297" t="s">
        <v>958</v>
      </c>
      <c r="D60" s="311">
        <v>9445.1454230100007</v>
      </c>
      <c r="E60" s="311">
        <v>11501.950577809999</v>
      </c>
      <c r="F60" s="302">
        <f t="shared" si="3"/>
        <v>0.21776320667220928</v>
      </c>
      <c r="G60" s="311">
        <v>11704.00473371</v>
      </c>
      <c r="H60" s="311">
        <v>11501.950577809999</v>
      </c>
      <c r="I60" s="302">
        <f t="shared" si="4"/>
        <v>-1.7263676877884548E-2</v>
      </c>
      <c r="J60" s="311">
        <v>11692.47218893</v>
      </c>
      <c r="K60" s="311">
        <v>11865.54833951</v>
      </c>
      <c r="L60" s="311">
        <v>12039.44772462</v>
      </c>
      <c r="M60" s="312">
        <v>13777.860916969999</v>
      </c>
      <c r="N60" t="str">
        <f t="shared" si="5"/>
        <v>SpainManufacture of motor vehicles, trailers and semi-trailers (C29)</v>
      </c>
      <c r="O60" s="11">
        <f>INDEX('Base de dados IHS'!$A$1:$V$676,MATCH($N60,'Base de dados IHS'!$C$1:$C$676,0),MATCH($O$1,'Base de dados IHS'!$A$1:$V$1,0))</f>
        <v>1259732.1048611</v>
      </c>
      <c r="P60" s="11">
        <f>INDEX('Base de dados IHS'!$A$1:$V$676,MATCH($N60,'Base de dados IHS'!$C$1:$C$676,0),MATCH($P$1,'Base de dados IHS'!$A$1:$V$1,0))</f>
        <v>1317888.2673469</v>
      </c>
      <c r="Q60" s="131">
        <f>INDEX('Base de dados IHS'!$A$1:$V$676,MATCH($N60,'Base de dados IHS'!$C$1:$C$676,0),MATCH($Q$1,'Base de dados IHS'!$A$1:$V$1,0))</f>
        <v>9.2908680254684007E-3</v>
      </c>
      <c r="R60" s="131">
        <f>INDEX('Base de dados IHS'!$A$1:$V$676,MATCH($N60,'Base de dados IHS'!$C$1:$C$676,0),MATCH($R$1,'Base de dados IHS'!$A$1:$V$1,0))</f>
        <v>8.7275612529468007E-3</v>
      </c>
      <c r="S60" s="131">
        <f>INDEX('Base de dados IHS'!$A$1:$V$676,MATCH($N60,'Base de dados IHS'!$C$1:$C$676,0),MATCH($S$1,'Base de dados IHS'!$A$1:$V$1,0))</f>
        <v>-5.6330677252160004E-4</v>
      </c>
      <c r="T60" t="str">
        <f>IF(Q60&lt;'Cenario A ranking setor PIB'!$G$58,"N","Y")</f>
        <v>N</v>
      </c>
    </row>
    <row r="61" spans="1:20" hidden="1" x14ac:dyDescent="0.45">
      <c r="A61" s="293" t="s">
        <v>108</v>
      </c>
      <c r="B61" s="297" t="s">
        <v>7</v>
      </c>
      <c r="C61" s="297" t="s">
        <v>958</v>
      </c>
      <c r="D61" s="311">
        <v>3802.1990346399998</v>
      </c>
      <c r="E61" s="311">
        <v>7313.2170023899998</v>
      </c>
      <c r="F61" s="302">
        <f t="shared" si="3"/>
        <v>0.92341772110371134</v>
      </c>
      <c r="G61" s="311">
        <v>5966.7102625699999</v>
      </c>
      <c r="H61" s="311">
        <v>7313.2170023899998</v>
      </c>
      <c r="I61" s="302">
        <f t="shared" si="4"/>
        <v>0.2256698717661596</v>
      </c>
      <c r="J61" s="311">
        <v>9512.9901941999997</v>
      </c>
      <c r="K61" s="311">
        <v>9940.35619013</v>
      </c>
      <c r="L61" s="311">
        <v>10172.913183389999</v>
      </c>
      <c r="M61" s="312">
        <v>11075.86946127</v>
      </c>
      <c r="N61" t="str">
        <f t="shared" si="5"/>
        <v>TurkeyManufacture of motor vehicles, trailers and semi-trailers (C29)</v>
      </c>
      <c r="O61" s="11">
        <f>INDEX('Base de dados IHS'!$A$1:$V$676,MATCH($N61,'Base de dados IHS'!$C$1:$C$676,0),MATCH($O$1,'Base de dados IHS'!$A$1:$V$1,0))</f>
        <v>659235.83503077005</v>
      </c>
      <c r="P61" s="11">
        <f>INDEX('Base de dados IHS'!$A$1:$V$676,MATCH($N61,'Base de dados IHS'!$C$1:$C$676,0),MATCH($P$1,'Base de dados IHS'!$A$1:$V$1,0))</f>
        <v>865088.75381619995</v>
      </c>
      <c r="Q61" s="131">
        <f>INDEX('Base de dados IHS'!$A$1:$V$676,MATCH($N61,'Base de dados IHS'!$C$1:$C$676,0),MATCH($Q$1,'Base de dados IHS'!$A$1:$V$1,0))</f>
        <v>9.0509495168622049E-3</v>
      </c>
      <c r="R61" s="131">
        <f>INDEX('Base de dados IHS'!$A$1:$V$676,MATCH($N61,'Base de dados IHS'!$C$1:$C$676,0),MATCH($R$1,'Base de dados IHS'!$A$1:$V$1,0))</f>
        <v>8.4537187313196687E-3</v>
      </c>
      <c r="S61" s="131">
        <f>INDEX('Base de dados IHS'!$A$1:$V$676,MATCH($N61,'Base de dados IHS'!$C$1:$C$676,0),MATCH($S$1,'Base de dados IHS'!$A$1:$V$1,0))</f>
        <v>-5.9723078554253621E-4</v>
      </c>
      <c r="T61" t="str">
        <f>IF(Q61&lt;'Cenario A ranking setor PIB'!$G$58,"N","Y")</f>
        <v>N</v>
      </c>
    </row>
    <row r="62" spans="1:20" hidden="1" x14ac:dyDescent="0.45">
      <c r="A62" s="293" t="s">
        <v>159</v>
      </c>
      <c r="B62" s="297" t="s">
        <v>7</v>
      </c>
      <c r="C62" s="297" t="s">
        <v>958</v>
      </c>
      <c r="D62" s="311">
        <v>743.51042961999997</v>
      </c>
      <c r="E62" s="311">
        <v>603.20873628000004</v>
      </c>
      <c r="F62" s="302">
        <f t="shared" si="3"/>
        <v>-0.18870171520217494</v>
      </c>
      <c r="G62" s="311">
        <v>729.50554082999997</v>
      </c>
      <c r="H62" s="311">
        <v>603.20873628000004</v>
      </c>
      <c r="I62" s="302">
        <f t="shared" si="4"/>
        <v>-0.17312658709391693</v>
      </c>
      <c r="J62" s="311">
        <v>705.41575229</v>
      </c>
      <c r="K62" s="311">
        <v>732.38223301000005</v>
      </c>
      <c r="L62" s="311">
        <v>736.26773314000002</v>
      </c>
      <c r="M62" s="312">
        <v>744.52425786000003</v>
      </c>
      <c r="N62" t="str">
        <f t="shared" si="5"/>
        <v>KuwaitManufacture of motor vehicles, trailers and semi-trailers (C29)</v>
      </c>
      <c r="O62" s="11">
        <f>INDEX('Base de dados IHS'!$A$1:$V$676,MATCH($N62,'Base de dados IHS'!$C$1:$C$676,0),MATCH($O$1,'Base de dados IHS'!$A$1:$V$1,0))</f>
        <v>136318.13330372999</v>
      </c>
      <c r="P62" s="11">
        <f>INDEX('Base de dados IHS'!$A$1:$V$676,MATCH($N62,'Base de dados IHS'!$C$1:$C$676,0),MATCH($P$1,'Base de dados IHS'!$A$1:$V$1,0))</f>
        <v>128320.86664452001</v>
      </c>
      <c r="Q62" s="131">
        <f>INDEX('Base de dados IHS'!$A$1:$V$676,MATCH($N62,'Base de dados IHS'!$C$1:$C$676,0),MATCH($Q$1,'Base de dados IHS'!$A$1:$V$1,0))</f>
        <v>5.3514930343462894E-3</v>
      </c>
      <c r="R62" s="131">
        <f>INDEX('Base de dados IHS'!$A$1:$V$676,MATCH($N62,'Base de dados IHS'!$C$1:$C$676,0),MATCH($R$1,'Base de dados IHS'!$A$1:$V$1,0))</f>
        <v>4.7007844636136609E-3</v>
      </c>
      <c r="S62" s="131">
        <f>INDEX('Base de dados IHS'!$A$1:$V$676,MATCH($N62,'Base de dados IHS'!$C$1:$C$676,0),MATCH($S$1,'Base de dados IHS'!$A$1:$V$1,0))</f>
        <v>-6.5070857073262853E-4</v>
      </c>
      <c r="T62" t="str">
        <f>IF(Q62&lt;'Cenario A ranking setor PIB'!$G$58,"N","Y")</f>
        <v>N</v>
      </c>
    </row>
    <row r="63" spans="1:20" hidden="1" x14ac:dyDescent="0.45">
      <c r="A63" s="293" t="s">
        <v>107</v>
      </c>
      <c r="B63" s="297" t="s">
        <v>7</v>
      </c>
      <c r="C63" s="297" t="s">
        <v>958</v>
      </c>
      <c r="D63" s="311">
        <v>1295.7028159199999</v>
      </c>
      <c r="E63" s="311">
        <v>1244.5916596699999</v>
      </c>
      <c r="F63" s="302">
        <f t="shared" si="3"/>
        <v>-3.9446666027123767E-2</v>
      </c>
      <c r="G63" s="311">
        <v>1210.1743990699999</v>
      </c>
      <c r="H63" s="311">
        <v>1244.5916596699999</v>
      </c>
      <c r="I63" s="302">
        <f t="shared" si="4"/>
        <v>2.8439917937818748E-2</v>
      </c>
      <c r="J63" s="311">
        <v>1441.7875366599999</v>
      </c>
      <c r="K63" s="311">
        <v>1486.9700751400001</v>
      </c>
      <c r="L63" s="311">
        <v>1465.1605279299999</v>
      </c>
      <c r="M63" s="312">
        <v>1447.20022455</v>
      </c>
      <c r="N63" t="str">
        <f t="shared" si="5"/>
        <v>IranManufacture of motor vehicles, trailers and semi-trailers (C29)</v>
      </c>
      <c r="O63" s="11">
        <f>INDEX('Base de dados IHS'!$A$1:$V$676,MATCH($N63,'Base de dados IHS'!$C$1:$C$676,0),MATCH($O$1,'Base de dados IHS'!$A$1:$V$1,0))</f>
        <v>195024.47923529</v>
      </c>
      <c r="P63" s="11">
        <f>INDEX('Base de dados IHS'!$A$1:$V$676,MATCH($N63,'Base de dados IHS'!$C$1:$C$676,0),MATCH($P$1,'Base de dados IHS'!$A$1:$V$1,0))</f>
        <v>224406.94908081999</v>
      </c>
      <c r="Q63" s="131">
        <f>INDEX('Base de dados IHS'!$A$1:$V$676,MATCH($N63,'Base de dados IHS'!$C$1:$C$676,0),MATCH($Q$1,'Base de dados IHS'!$A$1:$V$1,0))</f>
        <v>6.2052435869343779E-3</v>
      </c>
      <c r="R63" s="131">
        <f>INDEX('Base de dados IHS'!$A$1:$V$676,MATCH($N63,'Base de dados IHS'!$C$1:$C$676,0),MATCH($R$1,'Base de dados IHS'!$A$1:$V$1,0))</f>
        <v>5.5461368944584744E-3</v>
      </c>
      <c r="S63" s="131">
        <f>INDEX('Base de dados IHS'!$A$1:$V$676,MATCH($N63,'Base de dados IHS'!$C$1:$C$676,0),MATCH($S$1,'Base de dados IHS'!$A$1:$V$1,0))</f>
        <v>-6.5910669247590346E-4</v>
      </c>
      <c r="T63" t="str">
        <f>IF(Q63&lt;'Cenario A ranking setor PIB'!$G$58,"N","Y")</f>
        <v>N</v>
      </c>
    </row>
    <row r="64" spans="1:20" hidden="1" x14ac:dyDescent="0.45">
      <c r="A64" s="293" t="s">
        <v>118</v>
      </c>
      <c r="B64" s="297" t="s">
        <v>7</v>
      </c>
      <c r="C64" s="297" t="s">
        <v>958</v>
      </c>
      <c r="D64" s="311">
        <v>3142.7611647399999</v>
      </c>
      <c r="E64" s="311">
        <v>2445.71624681</v>
      </c>
      <c r="F64" s="302">
        <f t="shared" si="3"/>
        <v>-0.22179379258928389</v>
      </c>
      <c r="G64" s="311">
        <v>2703.9505798499999</v>
      </c>
      <c r="H64" s="311">
        <v>2445.71624681</v>
      </c>
      <c r="I64" s="302">
        <f t="shared" si="4"/>
        <v>-9.5502608281518686E-2</v>
      </c>
      <c r="J64" s="311">
        <v>2434.6232361799998</v>
      </c>
      <c r="K64" s="311">
        <v>2017.9970859699999</v>
      </c>
      <c r="L64" s="311">
        <v>2525.0792182999999</v>
      </c>
      <c r="M64" s="312">
        <v>2615.8210065399999</v>
      </c>
      <c r="N64" t="str">
        <f t="shared" si="5"/>
        <v>BelgiumManufacture of motor vehicles, trailers and semi-trailers (C29)</v>
      </c>
      <c r="O64" s="11">
        <f>INDEX('Base de dados IHS'!$A$1:$V$676,MATCH($N64,'Base de dados IHS'!$C$1:$C$676,0),MATCH($O$1,'Base de dados IHS'!$A$1:$V$1,0))</f>
        <v>500331.50984029</v>
      </c>
      <c r="P64" s="11">
        <f>INDEX('Base de dados IHS'!$A$1:$V$676,MATCH($N64,'Base de dados IHS'!$C$1:$C$676,0),MATCH($P$1,'Base de dados IHS'!$A$1:$V$1,0))</f>
        <v>542439.84157398995</v>
      </c>
      <c r="Q64" s="131">
        <f>INDEX('Base de dados IHS'!$A$1:$V$676,MATCH($N64,'Base de dados IHS'!$C$1:$C$676,0),MATCH($Q$1,'Base de dados IHS'!$A$1:$V$1,0))</f>
        <v>5.404317990512178E-3</v>
      </c>
      <c r="R64" s="131">
        <f>INDEX('Base de dados IHS'!$A$1:$V$676,MATCH($N64,'Base de dados IHS'!$C$1:$C$676,0),MATCH($R$1,'Base de dados IHS'!$A$1:$V$1,0))</f>
        <v>4.5087326913769831E-3</v>
      </c>
      <c r="S64" s="131">
        <f>INDEX('Base de dados IHS'!$A$1:$V$676,MATCH($N64,'Base de dados IHS'!$C$1:$C$676,0),MATCH($S$1,'Base de dados IHS'!$A$1:$V$1,0))</f>
        <v>-8.9558529913519487E-4</v>
      </c>
      <c r="T64" t="str">
        <f>IF(Q64&lt;'Cenario A ranking setor PIB'!$G$58,"N","Y")</f>
        <v>N</v>
      </c>
    </row>
    <row r="65" spans="1:20" x14ac:dyDescent="0.45">
      <c r="A65" s="293" t="s">
        <v>74</v>
      </c>
      <c r="B65" s="297" t="s">
        <v>7</v>
      </c>
      <c r="C65" s="297" t="s">
        <v>958</v>
      </c>
      <c r="D65" s="311">
        <v>7639.6921724499998</v>
      </c>
      <c r="E65" s="311">
        <v>11262.160308279999</v>
      </c>
      <c r="F65" s="302">
        <f t="shared" si="3"/>
        <v>0.47416414877201762</v>
      </c>
      <c r="G65" s="311">
        <v>10494.787907649999</v>
      </c>
      <c r="H65" s="311">
        <v>11262.160308279999</v>
      </c>
      <c r="I65" s="302">
        <f t="shared" si="4"/>
        <v>7.3119381485607482E-2</v>
      </c>
      <c r="J65" s="311">
        <v>10784.1543487</v>
      </c>
      <c r="K65" s="311">
        <v>10182.05110214</v>
      </c>
      <c r="L65" s="311">
        <v>9807.8161604800007</v>
      </c>
      <c r="M65" s="312">
        <v>12363.60630073</v>
      </c>
      <c r="N65" t="str">
        <f t="shared" si="5"/>
        <v>SwedenManufacture of motor vehicles, trailers and semi-trailers (C29)</v>
      </c>
      <c r="O65" s="11">
        <f>INDEX('Base de dados IHS'!$A$1:$V$676,MATCH($N65,'Base de dados IHS'!$C$1:$C$676,0),MATCH($O$1,'Base de dados IHS'!$A$1:$V$1,0))</f>
        <v>490179.06760786998</v>
      </c>
      <c r="P65" s="11">
        <f>INDEX('Base de dados IHS'!$A$1:$V$676,MATCH($N65,'Base de dados IHS'!$C$1:$C$676,0),MATCH($P$1,'Base de dados IHS'!$A$1:$V$1,0))</f>
        <v>552840.30345001002</v>
      </c>
      <c r="Q65" s="131">
        <f>INDEX('Base de dados IHS'!$A$1:$V$676,MATCH($N65,'Base de dados IHS'!$C$1:$C$676,0),MATCH($Q$1,'Base de dados IHS'!$A$1:$V$1,0))</f>
        <v>2.1410110306965508E-2</v>
      </c>
      <c r="R65" s="131">
        <f>INDEX('Base de dados IHS'!$A$1:$V$676,MATCH($N65,'Base de dados IHS'!$C$1:$C$676,0),MATCH($R$1,'Base de dados IHS'!$A$1:$V$1,0))</f>
        <v>2.0371453090518694E-2</v>
      </c>
      <c r="S65" s="131">
        <f>INDEX('Base de dados IHS'!$A$1:$V$676,MATCH($N65,'Base de dados IHS'!$C$1:$C$676,0),MATCH($S$1,'Base de dados IHS'!$A$1:$V$1,0))</f>
        <v>-1.0386572164468137E-3</v>
      </c>
      <c r="T65" t="str">
        <f>IF(Q65&lt;'Cenario A ranking setor PIB'!$G$58,"N","Y")</f>
        <v>Y</v>
      </c>
    </row>
    <row r="66" spans="1:20" hidden="1" x14ac:dyDescent="0.45">
      <c r="A66" s="293" t="s">
        <v>73</v>
      </c>
      <c r="B66" s="297" t="s">
        <v>7</v>
      </c>
      <c r="C66" s="297" t="s">
        <v>958</v>
      </c>
      <c r="D66" s="311">
        <v>4058.2236815800002</v>
      </c>
      <c r="E66" s="311">
        <v>5243.54709078</v>
      </c>
      <c r="F66" s="302">
        <f t="shared" ref="F66:F76" si="6">H66/D66-1</f>
        <v>0.29207936826649106</v>
      </c>
      <c r="G66" s="311">
        <v>4913.2670073199997</v>
      </c>
      <c r="H66" s="311">
        <v>5243.54709078</v>
      </c>
      <c r="I66" s="302">
        <f t="shared" ref="I66:I97" si="7">H66/G66-1</f>
        <v>6.7222091322929334E-2</v>
      </c>
      <c r="J66" s="311">
        <v>4523.6154480100004</v>
      </c>
      <c r="K66" s="311">
        <v>4941.9024760299999</v>
      </c>
      <c r="L66" s="311">
        <v>4959.3427287699997</v>
      </c>
      <c r="M66" s="312">
        <v>5192.4260097200004</v>
      </c>
      <c r="N66" t="str">
        <f t="shared" ref="N66:N76" si="8">A66&amp;B66</f>
        <v>TaiwanManufacture of motor vehicles, trailers and semi-trailers (C29)</v>
      </c>
      <c r="O66" s="11">
        <f>INDEX('Base de dados IHS'!$A$1:$V$676,MATCH($N66,'Base de dados IHS'!$C$1:$C$676,0),MATCH($O$1,'Base de dados IHS'!$A$1:$V$1,0))</f>
        <v>546880.06131035998</v>
      </c>
      <c r="P66" s="11">
        <f>INDEX('Base de dados IHS'!$A$1:$V$676,MATCH($N66,'Base de dados IHS'!$C$1:$C$676,0),MATCH($P$1,'Base de dados IHS'!$A$1:$V$1,0))</f>
        <v>674049.24440882006</v>
      </c>
      <c r="Q66" s="131">
        <f>INDEX('Base de dados IHS'!$A$1:$V$676,MATCH($N66,'Base de dados IHS'!$C$1:$C$676,0),MATCH($Q$1,'Base de dados IHS'!$A$1:$V$1,0))</f>
        <v>8.9841765222661331E-3</v>
      </c>
      <c r="R66" s="131">
        <f>INDEX('Base de dados IHS'!$A$1:$V$676,MATCH($N66,'Base de dados IHS'!$C$1:$C$676,0),MATCH($R$1,'Base de dados IHS'!$A$1:$V$1,0))</f>
        <v>7.7791750888748373E-3</v>
      </c>
      <c r="S66" s="131">
        <f>INDEX('Base de dados IHS'!$A$1:$V$676,MATCH($N66,'Base de dados IHS'!$C$1:$C$676,0),MATCH($S$1,'Base de dados IHS'!$A$1:$V$1,0))</f>
        <v>-1.2050014333912958E-3</v>
      </c>
      <c r="T66" t="str">
        <f>IF(Q66&lt;'Cenario A ranking setor PIB'!$G$58,"N","Y")</f>
        <v>N</v>
      </c>
    </row>
    <row r="67" spans="1:20" x14ac:dyDescent="0.45">
      <c r="A67" s="293" t="s">
        <v>100</v>
      </c>
      <c r="B67" s="297" t="s">
        <v>7</v>
      </c>
      <c r="C67" s="297" t="s">
        <v>958</v>
      </c>
      <c r="D67" s="311">
        <v>101675.04052169</v>
      </c>
      <c r="E67" s="311">
        <v>95644.320883459994</v>
      </c>
      <c r="F67" s="302">
        <f t="shared" si="6"/>
        <v>-5.9313668401671182E-2</v>
      </c>
      <c r="G67" s="311">
        <v>101409.67102264</v>
      </c>
      <c r="H67" s="311">
        <v>95644.320883459994</v>
      </c>
      <c r="I67" s="302">
        <f t="shared" si="7"/>
        <v>-5.6852074176366063E-2</v>
      </c>
      <c r="J67" s="311">
        <v>90261.283563999998</v>
      </c>
      <c r="K67" s="311">
        <v>87771.701908639996</v>
      </c>
      <c r="L67" s="311">
        <v>87088.718360190003</v>
      </c>
      <c r="M67" s="312">
        <v>85947.443326890003</v>
      </c>
      <c r="N67" t="str">
        <f t="shared" si="8"/>
        <v>JapanManufacture of motor vehicles, trailers and semi-trailers (C29)</v>
      </c>
      <c r="O67" s="11">
        <f>INDEX('Base de dados IHS'!$A$1:$V$676,MATCH($N67,'Base de dados IHS'!$C$1:$C$676,0),MATCH($O$1,'Base de dados IHS'!$A$1:$V$1,0))</f>
        <v>4983596.864085</v>
      </c>
      <c r="P67" s="11">
        <f>INDEX('Base de dados IHS'!$A$1:$V$676,MATCH($N67,'Base de dados IHS'!$C$1:$C$676,0),MATCH($P$1,'Base de dados IHS'!$A$1:$V$1,0))</f>
        <v>5032370.4042106001</v>
      </c>
      <c r="Q67" s="131">
        <f>INDEX('Base de dados IHS'!$A$1:$V$676,MATCH($N67,'Base de dados IHS'!$C$1:$C$676,0),MATCH($Q$1,'Base de dados IHS'!$A$1:$V$1,0))</f>
        <v>2.0348690672285959E-2</v>
      </c>
      <c r="R67" s="131">
        <f>INDEX('Base de dados IHS'!$A$1:$V$676,MATCH($N67,'Base de dados IHS'!$C$1:$C$676,0),MATCH($R$1,'Base de dados IHS'!$A$1:$V$1,0))</f>
        <v>1.9005818968221039E-2</v>
      </c>
      <c r="S67" s="131">
        <f>INDEX('Base de dados IHS'!$A$1:$V$676,MATCH($N67,'Base de dados IHS'!$C$1:$C$676,0),MATCH($S$1,'Base de dados IHS'!$A$1:$V$1,0))</f>
        <v>-1.3428717040649199E-3</v>
      </c>
      <c r="T67" t="str">
        <f>IF(Q67&lt;'Cenario A ranking setor PIB'!$G$58,"N","Y")</f>
        <v>Y</v>
      </c>
    </row>
    <row r="68" spans="1:20" hidden="1" x14ac:dyDescent="0.45">
      <c r="A68" s="293" t="s">
        <v>70</v>
      </c>
      <c r="B68" s="297" t="s">
        <v>7</v>
      </c>
      <c r="C68" s="297" t="s">
        <v>958</v>
      </c>
      <c r="D68" s="311">
        <v>10653.77357901</v>
      </c>
      <c r="E68" s="311">
        <v>14529.139964030001</v>
      </c>
      <c r="F68" s="302">
        <f t="shared" si="6"/>
        <v>0.36375527941153396</v>
      </c>
      <c r="G68" s="311">
        <v>14269.45251345</v>
      </c>
      <c r="H68" s="311">
        <v>14529.139964030001</v>
      </c>
      <c r="I68" s="302">
        <f t="shared" si="7"/>
        <v>1.8198837715408311E-2</v>
      </c>
      <c r="J68" s="311">
        <v>20580.029392730001</v>
      </c>
      <c r="K68" s="311">
        <v>24633.590114170001</v>
      </c>
      <c r="L68" s="311">
        <v>27917.481775650002</v>
      </c>
      <c r="M68" s="312">
        <v>33384.37417612</v>
      </c>
      <c r="N68" t="str">
        <f t="shared" si="8"/>
        <v>IndiaManufacture of motor vehicles, trailers and semi-trailers (C29)</v>
      </c>
      <c r="O68" s="11">
        <f>INDEX('Base de dados IHS'!$A$1:$V$676,MATCH($N68,'Base de dados IHS'!$C$1:$C$676,0),MATCH($O$1,'Base de dados IHS'!$A$1:$V$1,0))</f>
        <v>2233583.9807687998</v>
      </c>
      <c r="P68" s="11">
        <f>INDEX('Base de dados IHS'!$A$1:$V$676,MATCH($N68,'Base de dados IHS'!$C$1:$C$676,0),MATCH($P$1,'Base de dados IHS'!$A$1:$V$1,0))</f>
        <v>2928405.219999</v>
      </c>
      <c r="Q68" s="131">
        <f>INDEX('Base de dados IHS'!$A$1:$V$676,MATCH($N68,'Base de dados IHS'!$C$1:$C$676,0),MATCH($Q$1,'Base de dados IHS'!$A$1:$V$1,0))</f>
        <v>6.3885901028617039E-3</v>
      </c>
      <c r="R68" s="131">
        <f>INDEX('Base de dados IHS'!$A$1:$V$676,MATCH($N68,'Base de dados IHS'!$C$1:$C$676,0),MATCH($R$1,'Base de dados IHS'!$A$1:$V$1,0))</f>
        <v>4.9614513267514804E-3</v>
      </c>
      <c r="S68" s="131">
        <f>INDEX('Base de dados IHS'!$A$1:$V$676,MATCH($N68,'Base de dados IHS'!$C$1:$C$676,0),MATCH($S$1,'Base de dados IHS'!$A$1:$V$1,0))</f>
        <v>-1.4271387761102235E-3</v>
      </c>
      <c r="T68" t="str">
        <f>IF(Q68&lt;'Cenario A ranking setor PIB'!$G$58,"N","Y")</f>
        <v>N</v>
      </c>
    </row>
    <row r="69" spans="1:20" hidden="1" x14ac:dyDescent="0.45">
      <c r="A69" s="293" t="s">
        <v>76</v>
      </c>
      <c r="B69" s="297" t="s">
        <v>7</v>
      </c>
      <c r="C69" s="297" t="s">
        <v>958</v>
      </c>
      <c r="D69" s="311">
        <v>16734.320205880002</v>
      </c>
      <c r="E69" s="311">
        <v>22340.6468804</v>
      </c>
      <c r="F69" s="302">
        <f t="shared" si="6"/>
        <v>0.33501968442973151</v>
      </c>
      <c r="G69" s="311">
        <v>25918.234421320001</v>
      </c>
      <c r="H69" s="311">
        <v>22340.6468804</v>
      </c>
      <c r="I69" s="302">
        <f t="shared" si="7"/>
        <v>-0.13803361304491968</v>
      </c>
      <c r="J69" s="311">
        <v>19257.051234490002</v>
      </c>
      <c r="K69" s="311">
        <v>22634.013430620002</v>
      </c>
      <c r="L69" s="311">
        <v>24158.968802169999</v>
      </c>
      <c r="M69" s="312">
        <v>29437.360299740001</v>
      </c>
      <c r="N69" t="str">
        <f t="shared" si="8"/>
        <v>United KingdomManufacture of motor vehicles, trailers and semi-trailers (C29)</v>
      </c>
      <c r="O69" s="11">
        <f>INDEX('Base de dados IHS'!$A$1:$V$676,MATCH($N69,'Base de dados IHS'!$C$1:$C$676,0),MATCH($O$1,'Base de dados IHS'!$A$1:$V$1,0))</f>
        <v>2643868.3114987002</v>
      </c>
      <c r="P69" s="11">
        <f>INDEX('Base de dados IHS'!$A$1:$V$676,MATCH($N69,'Base de dados IHS'!$C$1:$C$676,0),MATCH($P$1,'Base de dados IHS'!$A$1:$V$1,0))</f>
        <v>2777419.6130784</v>
      </c>
      <c r="Q69" s="131">
        <f>INDEX('Base de dados IHS'!$A$1:$V$676,MATCH($N69,'Base de dados IHS'!$C$1:$C$676,0),MATCH($Q$1,'Base de dados IHS'!$A$1:$V$1,0))</f>
        <v>9.8031487833930807E-3</v>
      </c>
      <c r="R69" s="131">
        <f>INDEX('Base de dados IHS'!$A$1:$V$676,MATCH($N69,'Base de dados IHS'!$C$1:$C$676,0),MATCH($R$1,'Base de dados IHS'!$A$1:$V$1,0))</f>
        <v>8.0436700220599244E-3</v>
      </c>
      <c r="S69" s="131">
        <f>INDEX('Base de dados IHS'!$A$1:$V$676,MATCH($N69,'Base de dados IHS'!$C$1:$C$676,0),MATCH($S$1,'Base de dados IHS'!$A$1:$V$1,0))</f>
        <v>-1.7594787613331563E-3</v>
      </c>
      <c r="T69" t="str">
        <f>IF(Q69&lt;'Cenario A ranking setor PIB'!$G$58,"N","Y")</f>
        <v>N</v>
      </c>
    </row>
    <row r="70" spans="1:20" hidden="1" x14ac:dyDescent="0.45">
      <c r="A70" s="293" t="s">
        <v>63</v>
      </c>
      <c r="B70" s="297" t="s">
        <v>7</v>
      </c>
      <c r="C70" s="297" t="s">
        <v>958</v>
      </c>
      <c r="D70" s="311">
        <v>11271.112139659999</v>
      </c>
      <c r="E70" s="311">
        <v>11957.48676964</v>
      </c>
      <c r="F70" s="302">
        <f t="shared" si="6"/>
        <v>6.0896797181605011E-2</v>
      </c>
      <c r="G70" s="311">
        <v>13821.183257049999</v>
      </c>
      <c r="H70" s="311">
        <v>11957.48676964</v>
      </c>
      <c r="I70" s="302">
        <f t="shared" si="7"/>
        <v>-0.1348434828443037</v>
      </c>
      <c r="J70" s="311">
        <v>16949.924081879999</v>
      </c>
      <c r="K70" s="311">
        <v>15994.85108837</v>
      </c>
      <c r="L70" s="311">
        <v>15892.318043630001</v>
      </c>
      <c r="M70" s="312">
        <v>19077.170749109999</v>
      </c>
      <c r="N70" t="str">
        <f t="shared" si="8"/>
        <v>CanadaManufacture of motor vehicles, trailers and semi-trailers (C29)</v>
      </c>
      <c r="O70" s="11">
        <f>INDEX('Base de dados IHS'!$A$1:$V$676,MATCH($N70,'Base de dados IHS'!$C$1:$C$676,0),MATCH($O$1,'Base de dados IHS'!$A$1:$V$1,0))</f>
        <v>1599989.9756132001</v>
      </c>
      <c r="P70" s="11">
        <f>INDEX('Base de dados IHS'!$A$1:$V$676,MATCH($N70,'Base de dados IHS'!$C$1:$C$676,0),MATCH($P$1,'Base de dados IHS'!$A$1:$V$1,0))</f>
        <v>1743385.5162593001</v>
      </c>
      <c r="Q70" s="131">
        <f>INDEX('Base de dados IHS'!$A$1:$V$676,MATCH($N70,'Base de dados IHS'!$C$1:$C$676,0),MATCH($Q$1,'Base de dados IHS'!$A$1:$V$1,0))</f>
        <v>8.638293656654316E-3</v>
      </c>
      <c r="R70" s="131">
        <f>INDEX('Base de dados IHS'!$A$1:$V$676,MATCH($N70,'Base de dados IHS'!$C$1:$C$676,0),MATCH($R$1,'Base de dados IHS'!$A$1:$V$1,0))</f>
        <v>6.8587737239532735E-3</v>
      </c>
      <c r="S70" s="131">
        <f>INDEX('Base de dados IHS'!$A$1:$V$676,MATCH($N70,'Base de dados IHS'!$C$1:$C$676,0),MATCH($S$1,'Base de dados IHS'!$A$1:$V$1,0))</f>
        <v>-1.7795199327010425E-3</v>
      </c>
      <c r="T70" t="str">
        <f>IF(Q70&lt;'Cenario A ranking setor PIB'!$G$58,"N","Y")</f>
        <v>N</v>
      </c>
    </row>
    <row r="71" spans="1:20" hidden="1" x14ac:dyDescent="0.45">
      <c r="A71" s="293" t="s">
        <v>97</v>
      </c>
      <c r="B71" s="297" t="s">
        <v>7</v>
      </c>
      <c r="C71" s="297" t="s">
        <v>958</v>
      </c>
      <c r="D71" s="311">
        <v>18385.595095730001</v>
      </c>
      <c r="E71" s="311">
        <v>9508.0865219999996</v>
      </c>
      <c r="F71" s="302">
        <f t="shared" si="6"/>
        <v>-0.48285130437751111</v>
      </c>
      <c r="G71" s="311">
        <v>14886.82599128</v>
      </c>
      <c r="H71" s="311">
        <v>9508.0865219999996</v>
      </c>
      <c r="I71" s="302">
        <f t="shared" si="7"/>
        <v>-0.36130868140936234</v>
      </c>
      <c r="J71" s="311">
        <v>11944.400991</v>
      </c>
      <c r="K71" s="311">
        <v>10091.81321409</v>
      </c>
      <c r="L71" s="311">
        <v>10279.567277870001</v>
      </c>
      <c r="M71" s="312">
        <v>11254.050216289999</v>
      </c>
      <c r="N71" t="str">
        <f t="shared" si="8"/>
        <v>FranceManufacture of motor vehicles, trailers and semi-trailers (C29)</v>
      </c>
      <c r="O71" s="11">
        <f>INDEX('Base de dados IHS'!$A$1:$V$676,MATCH($N71,'Base de dados IHS'!$C$1:$C$676,0),MATCH($O$1,'Base de dados IHS'!$A$1:$V$1,0))</f>
        <v>2544956.5086996001</v>
      </c>
      <c r="P71" s="11">
        <f>INDEX('Base de dados IHS'!$A$1:$V$676,MATCH($N71,'Base de dados IHS'!$C$1:$C$676,0),MATCH($P$1,'Base de dados IHS'!$A$1:$V$1,0))</f>
        <v>2682424.2983101001</v>
      </c>
      <c r="Q71" s="131">
        <f>INDEX('Base de dados IHS'!$A$1:$V$676,MATCH($N71,'Base de dados IHS'!$C$1:$C$676,0),MATCH($Q$1,'Base de dados IHS'!$A$1:$V$1,0))</f>
        <v>5.8495404304125974E-3</v>
      </c>
      <c r="R71" s="131">
        <f>INDEX('Base de dados IHS'!$A$1:$V$676,MATCH($N71,'Base de dados IHS'!$C$1:$C$676,0),MATCH($R$1,'Base de dados IHS'!$A$1:$V$1,0))</f>
        <v>3.5445870841499597E-3</v>
      </c>
      <c r="S71" s="131">
        <f>INDEX('Base de dados IHS'!$A$1:$V$676,MATCH($N71,'Base de dados IHS'!$C$1:$C$676,0),MATCH($S$1,'Base de dados IHS'!$A$1:$V$1,0))</f>
        <v>-2.3049533462626377E-3</v>
      </c>
      <c r="T71" t="str">
        <f>IF(Q71&lt;'Cenario A ranking setor PIB'!$G$58,"N","Y")</f>
        <v>N</v>
      </c>
    </row>
    <row r="72" spans="1:20" x14ac:dyDescent="0.45">
      <c r="A72" s="293" t="s">
        <v>109</v>
      </c>
      <c r="B72" s="297" t="s">
        <v>7</v>
      </c>
      <c r="C72" s="297" t="s">
        <v>958</v>
      </c>
      <c r="D72" s="311">
        <v>12063.7803535</v>
      </c>
      <c r="E72" s="311">
        <v>12718.336716739999</v>
      </c>
      <c r="F72" s="302">
        <f t="shared" si="6"/>
        <v>5.4257980836835751E-2</v>
      </c>
      <c r="G72" s="311">
        <v>12771.868581889999</v>
      </c>
      <c r="H72" s="311">
        <v>12718.336716739999</v>
      </c>
      <c r="I72" s="302">
        <f t="shared" si="7"/>
        <v>-4.1913886606934625E-3</v>
      </c>
      <c r="J72" s="311">
        <v>14360.66723112</v>
      </c>
      <c r="K72" s="311">
        <v>16799.226842479999</v>
      </c>
      <c r="L72" s="311">
        <v>18250.726777169999</v>
      </c>
      <c r="M72" s="312">
        <v>23005.857240590001</v>
      </c>
      <c r="N72" t="str">
        <f t="shared" si="8"/>
        <v>ThailandManufacture of motor vehicles, trailers and semi-trailers (C29)</v>
      </c>
      <c r="O72" s="11">
        <f>INDEX('Base de dados IHS'!$A$1:$V$676,MATCH($N72,'Base de dados IHS'!$C$1:$C$676,0),MATCH($O$1,'Base de dados IHS'!$A$1:$V$1,0))</f>
        <v>474324.68093352998</v>
      </c>
      <c r="P72" s="11">
        <f>INDEX('Base de dados IHS'!$A$1:$V$676,MATCH($N72,'Base de dados IHS'!$C$1:$C$676,0),MATCH($P$1,'Base de dados IHS'!$A$1:$V$1,0))</f>
        <v>518585.14704719</v>
      </c>
      <c r="Q72" s="131">
        <f>INDEX('Base de dados IHS'!$A$1:$V$676,MATCH($N72,'Base de dados IHS'!$C$1:$C$676,0),MATCH($Q$1,'Base de dados IHS'!$A$1:$V$1,0))</f>
        <v>2.6926426338923316E-2</v>
      </c>
      <c r="R72" s="131">
        <f>INDEX('Base de dados IHS'!$A$1:$V$676,MATCH($N72,'Base de dados IHS'!$C$1:$C$676,0),MATCH($R$1,'Base de dados IHS'!$A$1:$V$1,0))</f>
        <v>2.4525069391512406E-2</v>
      </c>
      <c r="S72" s="131">
        <f>INDEX('Base de dados IHS'!$A$1:$V$676,MATCH($N72,'Base de dados IHS'!$C$1:$C$676,0),MATCH($S$1,'Base de dados IHS'!$A$1:$V$1,0))</f>
        <v>-2.4013569474109105E-3</v>
      </c>
      <c r="T72" t="str">
        <f>IF(Q72&lt;'Cenario A ranking setor PIB'!$G$58,"N","Y")</f>
        <v>Y</v>
      </c>
    </row>
    <row r="73" spans="1:20" x14ac:dyDescent="0.45">
      <c r="A73" s="293" t="s">
        <v>113</v>
      </c>
      <c r="B73" s="297" t="s">
        <v>7</v>
      </c>
      <c r="C73" s="297" t="s">
        <v>958</v>
      </c>
      <c r="D73" s="311">
        <v>2935.0108501599998</v>
      </c>
      <c r="E73" s="311">
        <v>5415.5869622999999</v>
      </c>
      <c r="F73" s="302">
        <f t="shared" si="6"/>
        <v>0.84516761224401393</v>
      </c>
      <c r="G73" s="311">
        <v>5045.0732713699999</v>
      </c>
      <c r="H73" s="311">
        <v>5415.5869622999999</v>
      </c>
      <c r="I73" s="302">
        <f t="shared" si="7"/>
        <v>7.3440695704581227E-2</v>
      </c>
      <c r="J73" s="311">
        <v>7379.5339219400003</v>
      </c>
      <c r="K73" s="311">
        <v>8490.7036569400007</v>
      </c>
      <c r="L73" s="311">
        <v>8627.6640529399992</v>
      </c>
      <c r="M73" s="312">
        <v>10239.52679657</v>
      </c>
      <c r="N73" t="str">
        <f t="shared" si="8"/>
        <v>HungaryManufacture of motor vehicles, trailers and semi-trailers (C29)</v>
      </c>
      <c r="O73" s="11">
        <f>INDEX('Base de dados IHS'!$A$1:$V$676,MATCH($N73,'Base de dados IHS'!$C$1:$C$676,0),MATCH($O$1,'Base de dados IHS'!$A$1:$V$1,0))</f>
        <v>139098.07965294999</v>
      </c>
      <c r="P73" s="11">
        <f>INDEX('Base de dados IHS'!$A$1:$V$676,MATCH($N73,'Base de dados IHS'!$C$1:$C$676,0),MATCH($P$1,'Base de dados IHS'!$A$1:$V$1,0))</f>
        <v>167320.49519441</v>
      </c>
      <c r="Q73" s="131">
        <f>INDEX('Base de dados IHS'!$A$1:$V$676,MATCH($N73,'Base de dados IHS'!$C$1:$C$676,0),MATCH($Q$1,'Base de dados IHS'!$A$1:$V$1,0))</f>
        <v>3.6269898793408716E-2</v>
      </c>
      <c r="R73" s="131">
        <f>INDEX('Base de dados IHS'!$A$1:$V$676,MATCH($N73,'Base de dados IHS'!$C$1:$C$676,0),MATCH($R$1,'Base de dados IHS'!$A$1:$V$1,0))</f>
        <v>3.2366548736349476E-2</v>
      </c>
      <c r="S73" s="131">
        <f>INDEX('Base de dados IHS'!$A$1:$V$676,MATCH($N73,'Base de dados IHS'!$C$1:$C$676,0),MATCH($S$1,'Base de dados IHS'!$A$1:$V$1,0))</f>
        <v>-3.9033500570592392E-3</v>
      </c>
      <c r="T73" t="str">
        <f>IF(Q73&lt;'Cenario A ranking setor PIB'!$G$58,"N","Y")</f>
        <v>Y</v>
      </c>
    </row>
    <row r="74" spans="1:20" x14ac:dyDescent="0.45">
      <c r="A74" s="293" t="s">
        <v>99</v>
      </c>
      <c r="B74" s="297" t="s">
        <v>7</v>
      </c>
      <c r="C74" s="297" t="s">
        <v>958</v>
      </c>
      <c r="D74" s="311">
        <v>12131.983630680001</v>
      </c>
      <c r="E74" s="311">
        <v>16494.90577795</v>
      </c>
      <c r="F74" s="302">
        <f t="shared" si="6"/>
        <v>0.35962149967271717</v>
      </c>
      <c r="G74" s="311">
        <v>17551.54740467</v>
      </c>
      <c r="H74" s="311">
        <v>16494.90577795</v>
      </c>
      <c r="I74" s="302">
        <f t="shared" si="7"/>
        <v>-6.0202191998117272E-2</v>
      </c>
      <c r="J74" s="311">
        <v>19941.1032027</v>
      </c>
      <c r="K74" s="311">
        <v>22526.270178589999</v>
      </c>
      <c r="L74" s="311">
        <v>24378.543335229999</v>
      </c>
      <c r="M74" s="312">
        <v>28277.164034410001</v>
      </c>
      <c r="N74" t="str">
        <f t="shared" si="8"/>
        <v>IndonesiaManufacture of motor vehicles, trailers and semi-trailers (C29)</v>
      </c>
      <c r="O74" s="11">
        <f>INDEX('Base de dados IHS'!$A$1:$V$676,MATCH($N74,'Base de dados IHS'!$C$1:$C$676,0),MATCH($O$1,'Base de dados IHS'!$A$1:$V$1,0))</f>
        <v>917924.88667253999</v>
      </c>
      <c r="P74" s="11">
        <f>INDEX('Base de dados IHS'!$A$1:$V$676,MATCH($N74,'Base de dados IHS'!$C$1:$C$676,0),MATCH($P$1,'Base de dados IHS'!$A$1:$V$1,0))</f>
        <v>1136354.4627425</v>
      </c>
      <c r="Q74" s="131">
        <f>INDEX('Base de dados IHS'!$A$1:$V$676,MATCH($N74,'Base de dados IHS'!$C$1:$C$676,0),MATCH($Q$1,'Base de dados IHS'!$A$1:$V$1,0))</f>
        <v>1.9120897210112717E-2</v>
      </c>
      <c r="R74" s="131">
        <f>INDEX('Base de dados IHS'!$A$1:$V$676,MATCH($N74,'Base de dados IHS'!$C$1:$C$676,0),MATCH($R$1,'Base de dados IHS'!$A$1:$V$1,0))</f>
        <v>1.4515634266213795E-2</v>
      </c>
      <c r="S74" s="131">
        <f>INDEX('Base de dados IHS'!$A$1:$V$676,MATCH($N74,'Base de dados IHS'!$C$1:$C$676,0),MATCH($S$1,'Base de dados IHS'!$A$1:$V$1,0))</f>
        <v>-4.6052629438989214E-3</v>
      </c>
      <c r="T74" t="str">
        <f>IF(Q74&lt;'Cenario A ranking setor PIB'!$G$58,"N","Y")</f>
        <v>Y</v>
      </c>
    </row>
    <row r="75" spans="1:20" x14ac:dyDescent="0.45">
      <c r="A75" s="293" t="s">
        <v>98</v>
      </c>
      <c r="B75" s="297" t="s">
        <v>7</v>
      </c>
      <c r="C75" s="297" t="s">
        <v>958</v>
      </c>
      <c r="D75" s="311">
        <v>100015.48342828</v>
      </c>
      <c r="E75" s="311">
        <v>121577.88653037</v>
      </c>
      <c r="F75" s="302">
        <f t="shared" si="6"/>
        <v>0.21559065019719825</v>
      </c>
      <c r="G75" s="311">
        <v>133070.10790244999</v>
      </c>
      <c r="H75" s="311">
        <v>121577.88653037</v>
      </c>
      <c r="I75" s="302">
        <f t="shared" si="7"/>
        <v>-8.6362155657862871E-2</v>
      </c>
      <c r="J75" s="311">
        <v>151251.67004803001</v>
      </c>
      <c r="K75" s="311">
        <v>162607.82250574999</v>
      </c>
      <c r="L75" s="311">
        <v>165111.31616675001</v>
      </c>
      <c r="M75" s="312">
        <v>165588.08473666001</v>
      </c>
      <c r="N75" t="str">
        <f t="shared" si="8"/>
        <v>GermanyManufacture of motor vehicles, trailers and semi-trailers (C29)</v>
      </c>
      <c r="O75" s="11">
        <f>INDEX('Base de dados IHS'!$A$1:$V$676,MATCH($N75,'Base de dados IHS'!$C$1:$C$676,0),MATCH($O$1,'Base de dados IHS'!$A$1:$V$1,0))</f>
        <v>3626843.1759532001</v>
      </c>
      <c r="P75" s="11">
        <f>INDEX('Base de dados IHS'!$A$1:$V$676,MATCH($N75,'Base de dados IHS'!$C$1:$C$676,0),MATCH($P$1,'Base de dados IHS'!$A$1:$V$1,0))</f>
        <v>3849084.4984781002</v>
      </c>
      <c r="Q75" s="131">
        <f>INDEX('Base de dados IHS'!$A$1:$V$676,MATCH($N75,'Base de dados IHS'!$C$1:$C$676,0),MATCH($Q$1,'Base de dados IHS'!$A$1:$V$1,0))</f>
        <v>3.6690339627788497E-2</v>
      </c>
      <c r="R75" s="131">
        <f>INDEX('Base de dados IHS'!$A$1:$V$676,MATCH($N75,'Base de dados IHS'!$C$1:$C$676,0),MATCH($R$1,'Base de dados IHS'!$A$1:$V$1,0))</f>
        <v>3.1586182786696684E-2</v>
      </c>
      <c r="S75" s="131">
        <f>INDEX('Base de dados IHS'!$A$1:$V$676,MATCH($N75,'Base de dados IHS'!$C$1:$C$676,0),MATCH($S$1,'Base de dados IHS'!$A$1:$V$1,0))</f>
        <v>-5.1041568410918128E-3</v>
      </c>
      <c r="T75" t="str">
        <f>IF(Q75&lt;'Cenario A ranking setor PIB'!$G$58,"N","Y")</f>
        <v>Y</v>
      </c>
    </row>
    <row r="76" spans="1:20" x14ac:dyDescent="0.45">
      <c r="A76" s="293" t="s">
        <v>104</v>
      </c>
      <c r="B76" s="297" t="s">
        <v>7</v>
      </c>
      <c r="C76" s="297" t="s">
        <v>958</v>
      </c>
      <c r="D76" s="311">
        <v>27915.14964285</v>
      </c>
      <c r="E76" s="311">
        <v>29612.377791909999</v>
      </c>
      <c r="F76" s="302">
        <f t="shared" si="6"/>
        <v>6.079953612194644E-2</v>
      </c>
      <c r="G76" s="311">
        <v>33796.50530651</v>
      </c>
      <c r="H76" s="311">
        <v>29612.377791909999</v>
      </c>
      <c r="I76" s="302">
        <f t="shared" si="7"/>
        <v>-0.12380355532777643</v>
      </c>
      <c r="J76" s="311">
        <v>31546.869212990001</v>
      </c>
      <c r="K76" s="311">
        <v>26388.64112054</v>
      </c>
      <c r="L76" s="311">
        <v>24798.609785609999</v>
      </c>
      <c r="M76" s="312">
        <v>23229.600565649998</v>
      </c>
      <c r="N76" t="str">
        <f t="shared" si="8"/>
        <v>South KoreaManufacture of motor vehicles, trailers and semi-trailers (C29)</v>
      </c>
      <c r="O76" s="11">
        <f>INDEX('Base de dados IHS'!$A$1:$V$676,MATCH($N76,'Base de dados IHS'!$C$1:$C$676,0),MATCH($O$1,'Base de dados IHS'!$A$1:$V$1,0))</f>
        <v>1478297.0807395</v>
      </c>
      <c r="P76" s="11">
        <f>INDEX('Base de dados IHS'!$A$1:$V$676,MATCH($N76,'Base de dados IHS'!$C$1:$C$676,0),MATCH($P$1,'Base de dados IHS'!$A$1:$V$1,0))</f>
        <v>1710728.7967964001</v>
      </c>
      <c r="Q76" s="131">
        <f>INDEX('Base de dados IHS'!$A$1:$V$676,MATCH($N76,'Base de dados IHS'!$C$1:$C$676,0),MATCH($Q$1,'Base de dados IHS'!$A$1:$V$1,0))</f>
        <v>2.2861781807486024E-2</v>
      </c>
      <c r="R76" s="131">
        <f>INDEX('Base de dados IHS'!$A$1:$V$676,MATCH($N76,'Base de dados IHS'!$C$1:$C$676,0),MATCH($R$1,'Base de dados IHS'!$A$1:$V$1,0))</f>
        <v>1.7309802610071031E-2</v>
      </c>
      <c r="S76" s="131">
        <f>INDEX('Base de dados IHS'!$A$1:$V$676,MATCH($N76,'Base de dados IHS'!$C$1:$C$676,0),MATCH($S$1,'Base de dados IHS'!$A$1:$V$1,0))</f>
        <v>-5.5519791974149926E-3</v>
      </c>
      <c r="T76" t="str">
        <f>IF(Q76&lt;'Cenario A ranking setor PIB'!$G$58,"N","Y")</f>
        <v>Y</v>
      </c>
    </row>
  </sheetData>
  <autoFilter ref="A1:T76" xr:uid="{77B41E70-919D-4A29-8A63-9DAA48EB88FD}">
    <filterColumn colId="19">
      <filters>
        <filter val="Y"/>
      </filters>
    </filterColumn>
    <sortState xmlns:xlrd2="http://schemas.microsoft.com/office/spreadsheetml/2017/richdata2" ref="A2:T76">
      <sortCondition descending="1" ref="S1:S76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5FC1-8669-41DF-855D-3DDAA7EA06EC}">
  <sheetPr filterMode="1">
    <tabColor theme="4" tint="-0.249977111117893"/>
  </sheetPr>
  <dimension ref="A1:T76"/>
  <sheetViews>
    <sheetView workbookViewId="0"/>
  </sheetViews>
  <sheetFormatPr defaultColWidth="8.86328125" defaultRowHeight="14.25" x14ac:dyDescent="0.45"/>
  <cols>
    <col min="2" max="2" width="25.53125" customWidth="1"/>
  </cols>
  <sheetData>
    <row r="1" spans="1:20" x14ac:dyDescent="0.4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933</v>
      </c>
      <c r="O1" s="334" t="s">
        <v>928</v>
      </c>
      <c r="P1" s="334" t="s">
        <v>929</v>
      </c>
      <c r="Q1" s="334" t="s">
        <v>930</v>
      </c>
      <c r="R1" s="334" t="s">
        <v>931</v>
      </c>
      <c r="S1" s="334" t="s">
        <v>932</v>
      </c>
      <c r="T1" s="334" t="s">
        <v>1057</v>
      </c>
    </row>
    <row r="2" spans="1:20" x14ac:dyDescent="0.45">
      <c r="A2" s="293" t="s">
        <v>66</v>
      </c>
      <c r="B2" s="297" t="s">
        <v>6</v>
      </c>
      <c r="C2" s="297" t="s">
        <v>958</v>
      </c>
      <c r="D2" s="311">
        <v>10299.218453830001</v>
      </c>
      <c r="E2" s="311">
        <v>17509.209972820001</v>
      </c>
      <c r="F2" s="302">
        <f t="shared" ref="F2:F33" si="0">H2/D2-1</f>
        <v>0.70005229535730451</v>
      </c>
      <c r="G2" s="311">
        <v>11561.572216459999</v>
      </c>
      <c r="H2" s="311">
        <v>17509.209972820001</v>
      </c>
      <c r="I2" s="302">
        <f t="shared" ref="I2:I33" si="1">H2/G2-1</f>
        <v>0.51443157081114443</v>
      </c>
      <c r="J2" s="311">
        <v>18592.842669770002</v>
      </c>
      <c r="K2" s="311">
        <v>20034.352799879998</v>
      </c>
      <c r="L2" s="311">
        <v>21069.12840998</v>
      </c>
      <c r="M2" s="312">
        <v>23491.470299299999</v>
      </c>
      <c r="N2" t="str">
        <f t="shared" ref="N2:N33" si="2">A2&amp;B2</f>
        <v>NetherlandsManufacture of machinery and equipment n.e.c. (C28)</v>
      </c>
      <c r="O2" s="11">
        <f>INDEX('Base de dados IHS'!$A$1:$V$676,MATCH($N2,'Base de dados IHS'!$C$1:$C$676,0),MATCH($O$1,'Base de dados IHS'!$A$1:$V$1,0))</f>
        <v>829203.89806390996</v>
      </c>
      <c r="P2" s="11">
        <f>INDEX('Base de dados IHS'!$A$1:$V$676,MATCH($N2,'Base de dados IHS'!$C$1:$C$676,0),MATCH($P$1,'Base de dados IHS'!$A$1:$V$1,0))</f>
        <v>928325.09368340997</v>
      </c>
      <c r="Q2" s="131">
        <f>INDEX('Base de dados IHS'!$A$1:$V$676,MATCH($N2,'Base de dados IHS'!$C$1:$C$676,0),MATCH($Q$1,'Base de dados IHS'!$A$1:$V$1,0))</f>
        <v>1.3942978612926038E-2</v>
      </c>
      <c r="R2" s="131">
        <f>INDEX('Base de dados IHS'!$A$1:$V$676,MATCH($N2,'Base de dados IHS'!$C$1:$C$676,0),MATCH($R$1,'Base de dados IHS'!$A$1:$V$1,0))</f>
        <v>1.8861075814881754E-2</v>
      </c>
      <c r="S2" s="131">
        <f>INDEX('Base de dados IHS'!$A$1:$V$676,MATCH($N2,'Base de dados IHS'!$C$1:$C$676,0),MATCH($S$1,'Base de dados IHS'!$A$1:$V$1,0))</f>
        <v>4.9180972019557158E-3</v>
      </c>
      <c r="T2" t="str">
        <f>IF(Q2&lt;'Cenario A ranking setor PIB'!$G$72,"N","Y")</f>
        <v>Y</v>
      </c>
    </row>
    <row r="3" spans="1:20" x14ac:dyDescent="0.45">
      <c r="A3" s="293" t="s">
        <v>72</v>
      </c>
      <c r="B3" s="297" t="s">
        <v>6</v>
      </c>
      <c r="C3" s="297" t="s">
        <v>958</v>
      </c>
      <c r="D3" s="311">
        <v>7864.4625586700004</v>
      </c>
      <c r="E3" s="311">
        <v>11989.377056400001</v>
      </c>
      <c r="F3" s="302">
        <f t="shared" si="0"/>
        <v>0.52450049408431365</v>
      </c>
      <c r="G3" s="311">
        <v>9647.2481167599999</v>
      </c>
      <c r="H3" s="311">
        <v>11989.377056400001</v>
      </c>
      <c r="I3" s="302">
        <f t="shared" si="1"/>
        <v>0.24277689464325691</v>
      </c>
      <c r="J3" s="311">
        <v>13936.47517974</v>
      </c>
      <c r="K3" s="311">
        <v>15105.66798152</v>
      </c>
      <c r="L3" s="311">
        <v>16047.20791232</v>
      </c>
      <c r="M3" s="312">
        <v>18035.140317450001</v>
      </c>
      <c r="N3" t="str">
        <f t="shared" si="2"/>
        <v>AustriaManufacture of machinery and equipment n.e.c. (C28)</v>
      </c>
      <c r="O3" s="11">
        <f>INDEX('Base de dados IHS'!$A$1:$V$676,MATCH($N3,'Base de dados IHS'!$C$1:$C$676,0),MATCH($O$1,'Base de dados IHS'!$A$1:$V$1,0))</f>
        <v>410010.85265116999</v>
      </c>
      <c r="P3" s="11">
        <f>INDEX('Base de dados IHS'!$A$1:$V$676,MATCH($N3,'Base de dados IHS'!$C$1:$C$676,0),MATCH($P$1,'Base de dados IHS'!$A$1:$V$1,0))</f>
        <v>432694.04992214998</v>
      </c>
      <c r="Q3" s="131">
        <f>INDEX('Base de dados IHS'!$A$1:$V$676,MATCH($N3,'Base de dados IHS'!$C$1:$C$676,0),MATCH($Q$1,'Base de dados IHS'!$A$1:$V$1,0))</f>
        <v>2.3529250639050057E-2</v>
      </c>
      <c r="R3" s="131">
        <f>INDEX('Base de dados IHS'!$A$1:$V$676,MATCH($N3,'Base de dados IHS'!$C$1:$C$676,0),MATCH($R$1,'Base de dados IHS'!$A$1:$V$1,0))</f>
        <v>2.7708670961750274E-2</v>
      </c>
      <c r="S3" s="131">
        <f>INDEX('Base de dados IHS'!$A$1:$V$676,MATCH($N3,'Base de dados IHS'!$C$1:$C$676,0),MATCH($S$1,'Base de dados IHS'!$A$1:$V$1,0))</f>
        <v>4.1794203227002169E-3</v>
      </c>
      <c r="T3" t="str">
        <f>IF(Q3&lt;'Cenario A ranking setor PIB'!$G$72,"N","Y")</f>
        <v>Y</v>
      </c>
    </row>
    <row r="4" spans="1:20" x14ac:dyDescent="0.45">
      <c r="A4" s="293" t="s">
        <v>907</v>
      </c>
      <c r="B4" s="297" t="s">
        <v>6</v>
      </c>
      <c r="C4" s="297" t="s">
        <v>958</v>
      </c>
      <c r="D4" s="311">
        <v>193518.90176102001</v>
      </c>
      <c r="E4" s="311">
        <v>442072.76715456002</v>
      </c>
      <c r="F4" s="302">
        <f t="shared" si="0"/>
        <v>1.2843906364272555</v>
      </c>
      <c r="G4" s="311">
        <v>273840.19581425999</v>
      </c>
      <c r="H4" s="311">
        <v>442072.76715456002</v>
      </c>
      <c r="I4" s="302">
        <f t="shared" si="1"/>
        <v>0.61434578966781284</v>
      </c>
      <c r="J4" s="311">
        <v>535893.06682846998</v>
      </c>
      <c r="K4" s="311">
        <v>652165.36052607</v>
      </c>
      <c r="L4" s="311">
        <v>741479.00945572997</v>
      </c>
      <c r="M4" s="312">
        <v>960725.98496293998</v>
      </c>
      <c r="N4" t="str">
        <f t="shared" si="2"/>
        <v>ChinaManufacture of machinery and equipment n.e.c. (C28)</v>
      </c>
      <c r="O4" s="11">
        <f>INDEX('Base de dados IHS'!$A$1:$V$676,MATCH($N4,'Base de dados IHS'!$C$1:$C$676,0),MATCH($O$1,'Base de dados IHS'!$A$1:$V$1,0))</f>
        <v>11048064.947659001</v>
      </c>
      <c r="P4" s="11">
        <f>INDEX('Base de dados IHS'!$A$1:$V$676,MATCH($N4,'Base de dados IHS'!$C$1:$C$676,0),MATCH($P$1,'Base de dados IHS'!$A$1:$V$1,0))</f>
        <v>15827750.501527</v>
      </c>
      <c r="Q4" s="131">
        <f>INDEX('Base de dados IHS'!$A$1:$V$676,MATCH($N4,'Base de dados IHS'!$C$1:$C$676,0),MATCH($Q$1,'Base de dados IHS'!$A$1:$V$1,0))</f>
        <v>2.478625868978844E-2</v>
      </c>
      <c r="R4" s="131">
        <f>INDEX('Base de dados IHS'!$A$1:$V$676,MATCH($N4,'Base de dados IHS'!$C$1:$C$676,0),MATCH($R$1,'Base de dados IHS'!$A$1:$V$1,0))</f>
        <v>2.7930233491607701E-2</v>
      </c>
      <c r="S4" s="131">
        <f>INDEX('Base de dados IHS'!$A$1:$V$676,MATCH($N4,'Base de dados IHS'!$C$1:$C$676,0),MATCH($S$1,'Base de dados IHS'!$A$1:$V$1,0))</f>
        <v>3.1439748018192611E-3</v>
      </c>
      <c r="T4" t="str">
        <f>IF(Q4&lt;'Cenario A ranking setor PIB'!$G$72,"N","Y")</f>
        <v>Y</v>
      </c>
    </row>
    <row r="5" spans="1:20" x14ac:dyDescent="0.45">
      <c r="A5" s="293" t="s">
        <v>121</v>
      </c>
      <c r="B5" s="297" t="s">
        <v>6</v>
      </c>
      <c r="C5" s="297" t="s">
        <v>958</v>
      </c>
      <c r="D5" s="311">
        <v>5334.7339419500004</v>
      </c>
      <c r="E5" s="311">
        <v>7574.6556294599995</v>
      </c>
      <c r="F5" s="302">
        <f t="shared" si="0"/>
        <v>0.41987505129285663</v>
      </c>
      <c r="G5" s="311">
        <v>5501.68838228</v>
      </c>
      <c r="H5" s="311">
        <v>7574.6556294599995</v>
      </c>
      <c r="I5" s="302">
        <f t="shared" si="1"/>
        <v>0.37678747016219116</v>
      </c>
      <c r="J5" s="311">
        <v>9892.8659867599999</v>
      </c>
      <c r="K5" s="311">
        <v>11156.639225659999</v>
      </c>
      <c r="L5" s="311">
        <v>12066.152656030001</v>
      </c>
      <c r="M5" s="312">
        <v>13939.14316111</v>
      </c>
      <c r="N5" t="str">
        <f t="shared" si="2"/>
        <v>SingaporeManufacture of machinery and equipment n.e.c. (C28)</v>
      </c>
      <c r="O5" s="11">
        <f>INDEX('Base de dados IHS'!$A$1:$V$676,MATCH($N5,'Base de dados IHS'!$C$1:$C$676,0),MATCH($O$1,'Base de dados IHS'!$A$1:$V$1,0))</f>
        <v>331298.98374970001</v>
      </c>
      <c r="P5" s="11">
        <f>INDEX('Base de dados IHS'!$A$1:$V$676,MATCH($N5,'Base de dados IHS'!$C$1:$C$676,0),MATCH($P$1,'Base de dados IHS'!$A$1:$V$1,0))</f>
        <v>394237.177708</v>
      </c>
      <c r="Q5" s="131">
        <f>INDEX('Base de dados IHS'!$A$1:$V$676,MATCH($N5,'Base de dados IHS'!$C$1:$C$676,0),MATCH($Q$1,'Base de dados IHS'!$A$1:$V$1,0))</f>
        <v>1.6606414906592606E-2</v>
      </c>
      <c r="R5" s="131">
        <f>INDEX('Base de dados IHS'!$A$1:$V$676,MATCH($N5,'Base de dados IHS'!$C$1:$C$676,0),MATCH($R$1,'Base de dados IHS'!$A$1:$V$1,0))</f>
        <v>1.9213448293986943E-2</v>
      </c>
      <c r="S5" s="131">
        <f>INDEX('Base de dados IHS'!$A$1:$V$676,MATCH($N5,'Base de dados IHS'!$C$1:$C$676,0),MATCH($S$1,'Base de dados IHS'!$A$1:$V$1,0))</f>
        <v>2.607033387394337E-3</v>
      </c>
      <c r="T5" t="str">
        <f>IF(Q5&lt;'Cenario A ranking setor PIB'!$G$72,"N","Y")</f>
        <v>Y</v>
      </c>
    </row>
    <row r="6" spans="1:20" x14ac:dyDescent="0.45">
      <c r="A6" s="293" t="s">
        <v>104</v>
      </c>
      <c r="B6" s="297" t="s">
        <v>6</v>
      </c>
      <c r="C6" s="297" t="s">
        <v>958</v>
      </c>
      <c r="D6" s="311">
        <v>29962.191369870001</v>
      </c>
      <c r="E6" s="311">
        <v>42997.644424229999</v>
      </c>
      <c r="F6" s="302">
        <f t="shared" si="0"/>
        <v>0.43506340685976852</v>
      </c>
      <c r="G6" s="311">
        <v>33729.719946259997</v>
      </c>
      <c r="H6" s="311">
        <v>42997.644424229999</v>
      </c>
      <c r="I6" s="302">
        <f t="shared" si="1"/>
        <v>0.27477027656132802</v>
      </c>
      <c r="J6" s="311">
        <v>46225.134817769998</v>
      </c>
      <c r="K6" s="311">
        <v>50217.926824380003</v>
      </c>
      <c r="L6" s="311">
        <v>53146.444966280003</v>
      </c>
      <c r="M6" s="312">
        <v>60132.117619980003</v>
      </c>
      <c r="N6" t="str">
        <f t="shared" si="2"/>
        <v>South KoreaManufacture of machinery and equipment n.e.c. (C28)</v>
      </c>
      <c r="O6" s="11">
        <f>INDEX('Base de dados IHS'!$A$1:$V$676,MATCH($N6,'Base de dados IHS'!$C$1:$C$676,0),MATCH($O$1,'Base de dados IHS'!$A$1:$V$1,0))</f>
        <v>1478297.0807395</v>
      </c>
      <c r="P6" s="11">
        <f>INDEX('Base de dados IHS'!$A$1:$V$676,MATCH($N6,'Base de dados IHS'!$C$1:$C$676,0),MATCH($P$1,'Base de dados IHS'!$A$1:$V$1,0))</f>
        <v>1710728.7967964001</v>
      </c>
      <c r="Q6" s="131">
        <f>INDEX('Base de dados IHS'!$A$1:$V$676,MATCH($N6,'Base de dados IHS'!$C$1:$C$676,0),MATCH($Q$1,'Base de dados IHS'!$A$1:$V$1,0))</f>
        <v>2.281660458220422E-2</v>
      </c>
      <c r="R6" s="131">
        <f>INDEX('Base de dados IHS'!$A$1:$V$676,MATCH($N6,'Base de dados IHS'!$C$1:$C$676,0),MATCH($R$1,'Base de dados IHS'!$A$1:$V$1,0))</f>
        <v>2.5134109219853918E-2</v>
      </c>
      <c r="S6" s="131">
        <f>INDEX('Base de dados IHS'!$A$1:$V$676,MATCH($N6,'Base de dados IHS'!$C$1:$C$676,0),MATCH($S$1,'Base de dados IHS'!$A$1:$V$1,0))</f>
        <v>2.3175046376496984E-3</v>
      </c>
      <c r="T6" t="str">
        <f>IF(Q6&lt;'Cenario A ranking setor PIB'!$G$72,"N","Y")</f>
        <v>Y</v>
      </c>
    </row>
    <row r="7" spans="1:20" x14ac:dyDescent="0.45">
      <c r="A7" s="293" t="s">
        <v>126</v>
      </c>
      <c r="B7" s="297" t="s">
        <v>6</v>
      </c>
      <c r="C7" s="297" t="s">
        <v>958</v>
      </c>
      <c r="D7" s="311">
        <v>5534.3794645899998</v>
      </c>
      <c r="E7" s="311">
        <v>6774.3029251400003</v>
      </c>
      <c r="F7" s="302">
        <f t="shared" si="0"/>
        <v>0.22404019610206771</v>
      </c>
      <c r="G7" s="311">
        <v>5684.6176638099996</v>
      </c>
      <c r="H7" s="311">
        <v>6774.3029251400003</v>
      </c>
      <c r="I7" s="302">
        <f t="shared" si="1"/>
        <v>0.19169015856022598</v>
      </c>
      <c r="J7" s="311">
        <v>8010.4848064500002</v>
      </c>
      <c r="K7" s="311">
        <v>8638.2738021099995</v>
      </c>
      <c r="L7" s="311">
        <v>9065.3122234900002</v>
      </c>
      <c r="M7" s="312">
        <v>10108.132135010001</v>
      </c>
      <c r="N7" t="str">
        <f t="shared" si="2"/>
        <v>FinlandManufacture of machinery and equipment n.e.c. (C28)</v>
      </c>
      <c r="O7" s="11">
        <f>INDEX('Base de dados IHS'!$A$1:$V$676,MATCH($N7,'Base de dados IHS'!$C$1:$C$676,0),MATCH($O$1,'Base de dados IHS'!$A$1:$V$1,0))</f>
        <v>247207.29862345001</v>
      </c>
      <c r="P7" s="11">
        <f>INDEX('Base de dados IHS'!$A$1:$V$676,MATCH($N7,'Base de dados IHS'!$C$1:$C$676,0),MATCH($P$1,'Base de dados IHS'!$A$1:$V$1,0))</f>
        <v>270499.52733732999</v>
      </c>
      <c r="Q7" s="131">
        <f>INDEX('Base de dados IHS'!$A$1:$V$676,MATCH($N7,'Base de dados IHS'!$C$1:$C$676,0),MATCH($Q$1,'Base de dados IHS'!$A$1:$V$1,0))</f>
        <v>2.2995347206430573E-2</v>
      </c>
      <c r="R7" s="131">
        <f>INDEX('Base de dados IHS'!$A$1:$V$676,MATCH($N7,'Base de dados IHS'!$C$1:$C$676,0),MATCH($R$1,'Base de dados IHS'!$A$1:$V$1,0))</f>
        <v>2.5043677494829841E-2</v>
      </c>
      <c r="S7" s="131">
        <f>INDEX('Base de dados IHS'!$A$1:$V$676,MATCH($N7,'Base de dados IHS'!$C$1:$C$676,0),MATCH($S$1,'Base de dados IHS'!$A$1:$V$1,0))</f>
        <v>2.0483302883992673E-3</v>
      </c>
      <c r="T7" t="str">
        <f>IF(Q7&lt;'Cenario A ranking setor PIB'!$G$72,"N","Y")</f>
        <v>Y</v>
      </c>
    </row>
    <row r="8" spans="1:20" x14ac:dyDescent="0.45">
      <c r="A8" s="293" t="s">
        <v>116</v>
      </c>
      <c r="B8" s="297" t="s">
        <v>6</v>
      </c>
      <c r="C8" s="297" t="s">
        <v>958</v>
      </c>
      <c r="D8" s="311">
        <v>5612.4735398499997</v>
      </c>
      <c r="E8" s="311">
        <v>7370.6438865700002</v>
      </c>
      <c r="F8" s="302">
        <f t="shared" si="0"/>
        <v>0.31326122684348356</v>
      </c>
      <c r="G8" s="311">
        <v>5849.2394046700001</v>
      </c>
      <c r="H8" s="311">
        <v>7370.6438865700002</v>
      </c>
      <c r="I8" s="302">
        <f t="shared" si="1"/>
        <v>0.26010295982847254</v>
      </c>
      <c r="J8" s="311">
        <v>7244.1735664099997</v>
      </c>
      <c r="K8" s="311">
        <v>7792.6262546300004</v>
      </c>
      <c r="L8" s="311">
        <v>8202.9001728099993</v>
      </c>
      <c r="M8" s="312">
        <v>9107.2017325300003</v>
      </c>
      <c r="N8" t="str">
        <f t="shared" si="2"/>
        <v>DenmarkManufacture of machinery and equipment n.e.c. (C28)</v>
      </c>
      <c r="O8" s="11">
        <f>INDEX('Base de dados IHS'!$A$1:$V$676,MATCH($N8,'Base de dados IHS'!$C$1:$C$676,0),MATCH($O$1,'Base de dados IHS'!$A$1:$V$1,0))</f>
        <v>315318.76572541997</v>
      </c>
      <c r="P8" s="11">
        <f>INDEX('Base de dados IHS'!$A$1:$V$676,MATCH($N8,'Base de dados IHS'!$C$1:$C$676,0),MATCH($P$1,'Base de dados IHS'!$A$1:$V$1,0))</f>
        <v>361238.79673869</v>
      </c>
      <c r="Q8" s="131">
        <f>INDEX('Base de dados IHS'!$A$1:$V$676,MATCH($N8,'Base de dados IHS'!$C$1:$C$676,0),MATCH($Q$1,'Base de dados IHS'!$A$1:$V$1,0))</f>
        <v>1.8550241978821921E-2</v>
      </c>
      <c r="R8" s="131">
        <f>INDEX('Base de dados IHS'!$A$1:$V$676,MATCH($N8,'Base de dados IHS'!$C$1:$C$676,0),MATCH($R$1,'Base de dados IHS'!$A$1:$V$1,0))</f>
        <v>2.0403799240594073E-2</v>
      </c>
      <c r="S8" s="131">
        <f>INDEX('Base de dados IHS'!$A$1:$V$676,MATCH($N8,'Base de dados IHS'!$C$1:$C$676,0),MATCH($S$1,'Base de dados IHS'!$A$1:$V$1,0))</f>
        <v>1.8535572617721513E-3</v>
      </c>
      <c r="T8" t="str">
        <f>IF(Q8&lt;'Cenario A ranking setor PIB'!$G$72,"N","Y")</f>
        <v>Y</v>
      </c>
    </row>
    <row r="9" spans="1:20" x14ac:dyDescent="0.45">
      <c r="A9" s="293" t="s">
        <v>101</v>
      </c>
      <c r="B9" s="297" t="s">
        <v>6</v>
      </c>
      <c r="C9" s="297" t="s">
        <v>958</v>
      </c>
      <c r="D9" s="311">
        <v>37859.424298170001</v>
      </c>
      <c r="E9" s="311">
        <v>43734.811177750002</v>
      </c>
      <c r="F9" s="302">
        <f t="shared" si="0"/>
        <v>0.15518954628858417</v>
      </c>
      <c r="G9" s="311">
        <v>39937.89884414</v>
      </c>
      <c r="H9" s="311">
        <v>43734.811177750002</v>
      </c>
      <c r="I9" s="302">
        <f t="shared" si="1"/>
        <v>9.5070407895710085E-2</v>
      </c>
      <c r="J9" s="311">
        <v>47847.482968210003</v>
      </c>
      <c r="K9" s="311">
        <v>49997.497251380002</v>
      </c>
      <c r="L9" s="311">
        <v>51709.143020030002</v>
      </c>
      <c r="M9" s="312">
        <v>55546.020041019998</v>
      </c>
      <c r="N9" t="str">
        <f t="shared" si="2"/>
        <v>ItalyManufacture of machinery and equipment n.e.c. (C28)</v>
      </c>
      <c r="O9" s="11">
        <f>INDEX('Base de dados IHS'!$A$1:$V$676,MATCH($N9,'Base de dados IHS'!$C$1:$C$676,0),MATCH($O$1,'Base de dados IHS'!$A$1:$V$1,0))</f>
        <v>1924364.2462229</v>
      </c>
      <c r="P9" s="11">
        <f>INDEX('Base de dados IHS'!$A$1:$V$676,MATCH($N9,'Base de dados IHS'!$C$1:$C$676,0),MATCH($P$1,'Base de dados IHS'!$A$1:$V$1,0))</f>
        <v>1980878.3634254001</v>
      </c>
      <c r="Q9" s="131">
        <f>INDEX('Base de dados IHS'!$A$1:$V$676,MATCH($N9,'Base de dados IHS'!$C$1:$C$676,0),MATCH($Q$1,'Base de dados IHS'!$A$1:$V$1,0))</f>
        <v>2.0753814628664626E-2</v>
      </c>
      <c r="R9" s="131">
        <f>INDEX('Base de dados IHS'!$A$1:$V$676,MATCH($N9,'Base de dados IHS'!$C$1:$C$676,0),MATCH($R$1,'Base de dados IHS'!$A$1:$V$1,0))</f>
        <v>2.2078494058626764E-2</v>
      </c>
      <c r="S9" s="131">
        <f>INDEX('Base de dados IHS'!$A$1:$V$676,MATCH($N9,'Base de dados IHS'!$C$1:$C$676,0),MATCH($S$1,'Base de dados IHS'!$A$1:$V$1,0))</f>
        <v>1.3246794299621376E-3</v>
      </c>
      <c r="T9" t="str">
        <f>IF(Q9&lt;'Cenario A ranking setor PIB'!$G$72,"N","Y")</f>
        <v>Y</v>
      </c>
    </row>
    <row r="10" spans="1:20" x14ac:dyDescent="0.45">
      <c r="A10" s="293" t="s">
        <v>100</v>
      </c>
      <c r="B10" s="297" t="s">
        <v>6</v>
      </c>
      <c r="C10" s="297" t="s">
        <v>958</v>
      </c>
      <c r="D10" s="311">
        <v>134115.32272639999</v>
      </c>
      <c r="E10" s="311">
        <v>160046.20984222999</v>
      </c>
      <c r="F10" s="302">
        <f t="shared" si="0"/>
        <v>0.19334768457985918</v>
      </c>
      <c r="G10" s="311">
        <v>153505.60606214</v>
      </c>
      <c r="H10" s="311">
        <v>160046.20984222999</v>
      </c>
      <c r="I10" s="302">
        <f t="shared" si="1"/>
        <v>4.2608240492808536E-2</v>
      </c>
      <c r="J10" s="311">
        <v>161484.97752606001</v>
      </c>
      <c r="K10" s="311">
        <v>167976.87480967</v>
      </c>
      <c r="L10" s="311">
        <v>173294.69972159</v>
      </c>
      <c r="M10" s="312">
        <v>184807.51838805</v>
      </c>
      <c r="N10" t="str">
        <f t="shared" si="2"/>
        <v>JapanManufacture of machinery and equipment n.e.c. (C28)</v>
      </c>
      <c r="O10" s="11">
        <f>INDEX('Base de dados IHS'!$A$1:$V$676,MATCH($N10,'Base de dados IHS'!$C$1:$C$676,0),MATCH($O$1,'Base de dados IHS'!$A$1:$V$1,0))</f>
        <v>4983596.864085</v>
      </c>
      <c r="P10" s="11">
        <f>INDEX('Base de dados IHS'!$A$1:$V$676,MATCH($N10,'Base de dados IHS'!$C$1:$C$676,0),MATCH($P$1,'Base de dados IHS'!$A$1:$V$1,0))</f>
        <v>5032370.4042106001</v>
      </c>
      <c r="Q10" s="131">
        <f>INDEX('Base de dados IHS'!$A$1:$V$676,MATCH($N10,'Base de dados IHS'!$C$1:$C$676,0),MATCH($Q$1,'Base de dados IHS'!$A$1:$V$1,0))</f>
        <v>3.0802171654051712E-2</v>
      </c>
      <c r="R10" s="131">
        <f>INDEX('Base de dados IHS'!$A$1:$V$676,MATCH($N10,'Base de dados IHS'!$C$1:$C$676,0),MATCH($R$1,'Base de dados IHS'!$A$1:$V$1,0))</f>
        <v>3.1803344544813081E-2</v>
      </c>
      <c r="S10" s="131">
        <f>INDEX('Base de dados IHS'!$A$1:$V$676,MATCH($N10,'Base de dados IHS'!$C$1:$C$676,0),MATCH($S$1,'Base de dados IHS'!$A$1:$V$1,0))</f>
        <v>1.001172890761369E-3</v>
      </c>
      <c r="T10" t="str">
        <f>IF(Q10&lt;'Cenario A ranking setor PIB'!$G$72,"N","Y")</f>
        <v>Y</v>
      </c>
    </row>
    <row r="11" spans="1:20" x14ac:dyDescent="0.45">
      <c r="A11" s="293" t="s">
        <v>179</v>
      </c>
      <c r="B11" s="297" t="s">
        <v>6</v>
      </c>
      <c r="C11" s="297" t="s">
        <v>958</v>
      </c>
      <c r="D11" s="311">
        <v>868407.05065642996</v>
      </c>
      <c r="E11" s="311">
        <v>1222762.5215087</v>
      </c>
      <c r="F11" s="302">
        <f t="shared" si="0"/>
        <v>0.40805227293400281</v>
      </c>
      <c r="G11" s="311">
        <v>998112.69506527996</v>
      </c>
      <c r="H11" s="311">
        <v>1222762.5215087</v>
      </c>
      <c r="I11" s="302">
        <f t="shared" si="1"/>
        <v>0.22507461086718994</v>
      </c>
      <c r="J11" s="311">
        <v>1363063.4438376001</v>
      </c>
      <c r="K11" s="311">
        <v>1535191.1704035001</v>
      </c>
      <c r="L11" s="311">
        <v>1666645.881547</v>
      </c>
      <c r="M11" s="312">
        <v>1988582.8498416001</v>
      </c>
      <c r="N11" t="str">
        <f t="shared" si="2"/>
        <v>WorldManufacture of machinery and equipment n.e.c. (C28)</v>
      </c>
      <c r="O11" s="11">
        <f>INDEX('Base de dados IHS'!$A$1:$V$676,MATCH($N11,'Base de dados IHS'!$C$1:$C$676,0),MATCH($O$1,'Base de dados IHS'!$A$1:$V$1,0))</f>
        <v>74892116.540485993</v>
      </c>
      <c r="P11" s="11">
        <f>INDEX('Base de dados IHS'!$A$1:$V$676,MATCH($N11,'Base de dados IHS'!$C$1:$C$676,0),MATCH($P$1,'Base de dados IHS'!$A$1:$V$1,0))</f>
        <v>87029234.955234006</v>
      </c>
      <c r="Q11" s="131">
        <f>INDEX('Base de dados IHS'!$A$1:$V$676,MATCH($N11,'Base de dados IHS'!$C$1:$C$676,0),MATCH($Q$1,'Base de dados IHS'!$A$1:$V$1,0))</f>
        <v>1.332733992803781E-2</v>
      </c>
      <c r="R11" s="131">
        <f>INDEX('Base de dados IHS'!$A$1:$V$676,MATCH($N11,'Base de dados IHS'!$C$1:$C$676,0),MATCH($R$1,'Base de dados IHS'!$A$1:$V$1,0))</f>
        <v>1.4050020342447719E-2</v>
      </c>
      <c r="S11" s="131">
        <f>INDEX('Base de dados IHS'!$A$1:$V$676,MATCH($N11,'Base de dados IHS'!$C$1:$C$676,0),MATCH($S$1,'Base de dados IHS'!$A$1:$V$1,0))</f>
        <v>7.2268041440990902E-4</v>
      </c>
      <c r="T11" t="str">
        <f>IF(Q11&lt;'Cenario A ranking setor PIB'!$G$72,"N","Y")</f>
        <v>Y</v>
      </c>
    </row>
    <row r="12" spans="1:20" x14ac:dyDescent="0.45">
      <c r="A12" s="293" t="s">
        <v>108</v>
      </c>
      <c r="B12" s="297" t="s">
        <v>6</v>
      </c>
      <c r="C12" s="297" t="s">
        <v>958</v>
      </c>
      <c r="D12" s="311">
        <v>3091.9580980199999</v>
      </c>
      <c r="E12" s="311">
        <v>7472.6681757699998</v>
      </c>
      <c r="F12" s="302">
        <f t="shared" si="0"/>
        <v>1.4168077117717992</v>
      </c>
      <c r="G12" s="311">
        <v>5220.5343352500004</v>
      </c>
      <c r="H12" s="311">
        <v>7472.6681757699998</v>
      </c>
      <c r="I12" s="302">
        <f t="shared" si="1"/>
        <v>0.43139910512860347</v>
      </c>
      <c r="J12" s="311">
        <v>10124.611367650001</v>
      </c>
      <c r="K12" s="311">
        <v>11542.079308509999</v>
      </c>
      <c r="L12" s="311">
        <v>12731.08672564</v>
      </c>
      <c r="M12" s="312">
        <v>16343.441007429999</v>
      </c>
      <c r="N12" t="str">
        <f t="shared" si="2"/>
        <v>TurkeyManufacture of machinery and equipment n.e.c. (C28)</v>
      </c>
      <c r="O12" s="11">
        <f>INDEX('Base de dados IHS'!$A$1:$V$676,MATCH($N12,'Base de dados IHS'!$C$1:$C$676,0),MATCH($O$1,'Base de dados IHS'!$A$1:$V$1,0))</f>
        <v>659235.83503077005</v>
      </c>
      <c r="P12" s="11">
        <f>INDEX('Base de dados IHS'!$A$1:$V$676,MATCH($N12,'Base de dados IHS'!$C$1:$C$676,0),MATCH($P$1,'Base de dados IHS'!$A$1:$V$1,0))</f>
        <v>865088.75381619995</v>
      </c>
      <c r="Q12" s="131">
        <f>INDEX('Base de dados IHS'!$A$1:$V$676,MATCH($N12,'Base de dados IHS'!$C$1:$C$676,0),MATCH($Q$1,'Base de dados IHS'!$A$1:$V$1,0))</f>
        <v>7.9190694101244213E-3</v>
      </c>
      <c r="R12" s="131">
        <f>INDEX('Base de dados IHS'!$A$1:$V$676,MATCH($N12,'Base de dados IHS'!$C$1:$C$676,0),MATCH($R$1,'Base de dados IHS'!$A$1:$V$1,0))</f>
        <v>8.6380364359212002E-3</v>
      </c>
      <c r="S12" s="131">
        <f>INDEX('Base de dados IHS'!$A$1:$V$676,MATCH($N12,'Base de dados IHS'!$C$1:$C$676,0),MATCH($S$1,'Base de dados IHS'!$A$1:$V$1,0))</f>
        <v>7.1896702579677882E-4</v>
      </c>
      <c r="T12" t="str">
        <f>IF(Q12&lt;'Cenario A ranking setor PIB'!$G$72,"N","Y")</f>
        <v>Y</v>
      </c>
    </row>
    <row r="13" spans="1:20" x14ac:dyDescent="0.45">
      <c r="A13" s="293" t="s">
        <v>74</v>
      </c>
      <c r="B13" s="297" t="s">
        <v>6</v>
      </c>
      <c r="C13" s="297" t="s">
        <v>958</v>
      </c>
      <c r="D13" s="311">
        <v>9541.5968656799996</v>
      </c>
      <c r="E13" s="311">
        <v>9847.6276320399993</v>
      </c>
      <c r="F13" s="302">
        <f t="shared" si="0"/>
        <v>3.2073328046456906E-2</v>
      </c>
      <c r="G13" s="311">
        <v>8535.2845787799997</v>
      </c>
      <c r="H13" s="311">
        <v>9847.6276320399993</v>
      </c>
      <c r="I13" s="302">
        <f t="shared" si="1"/>
        <v>0.15375504368333326</v>
      </c>
      <c r="J13" s="311">
        <v>11320.21760394</v>
      </c>
      <c r="K13" s="311">
        <v>12030.125435370001</v>
      </c>
      <c r="L13" s="311">
        <v>12489.582259070001</v>
      </c>
      <c r="M13" s="312">
        <v>13671.128300009999</v>
      </c>
      <c r="N13" t="str">
        <f t="shared" si="2"/>
        <v>SwedenManufacture of machinery and equipment n.e.c. (C28)</v>
      </c>
      <c r="O13" s="11">
        <f>INDEX('Base de dados IHS'!$A$1:$V$676,MATCH($N13,'Base de dados IHS'!$C$1:$C$676,0),MATCH($O$1,'Base de dados IHS'!$A$1:$V$1,0))</f>
        <v>490179.06760786998</v>
      </c>
      <c r="P13" s="11">
        <f>INDEX('Base de dados IHS'!$A$1:$V$676,MATCH($N13,'Base de dados IHS'!$C$1:$C$676,0),MATCH($P$1,'Base de dados IHS'!$A$1:$V$1,0))</f>
        <v>552840.30345001002</v>
      </c>
      <c r="Q13" s="131">
        <f>INDEX('Base de dados IHS'!$A$1:$V$676,MATCH($N13,'Base de dados IHS'!$C$1:$C$676,0),MATCH($Q$1,'Base de dados IHS'!$A$1:$V$1,0))</f>
        <v>1.7412584793620761E-2</v>
      </c>
      <c r="R13" s="131">
        <f>INDEX('Base de dados IHS'!$A$1:$V$676,MATCH($N13,'Base de dados IHS'!$C$1:$C$676,0),MATCH($R$1,'Base de dados IHS'!$A$1:$V$1,0))</f>
        <v>1.7812788920391114E-2</v>
      </c>
      <c r="S13" s="131">
        <f>INDEX('Base de dados IHS'!$A$1:$V$676,MATCH($N13,'Base de dados IHS'!$C$1:$C$676,0),MATCH($S$1,'Base de dados IHS'!$A$1:$V$1,0))</f>
        <v>4.0020412677035239E-4</v>
      </c>
      <c r="T13" t="str">
        <f>IF(Q13&lt;'Cenario A ranking setor PIB'!$G$72,"N","Y")</f>
        <v>Y</v>
      </c>
    </row>
    <row r="14" spans="1:20" x14ac:dyDescent="0.45">
      <c r="A14" s="293" t="s">
        <v>160</v>
      </c>
      <c r="B14" s="297" t="s">
        <v>6</v>
      </c>
      <c r="C14" s="297" t="s">
        <v>958</v>
      </c>
      <c r="D14" s="311">
        <v>429.93501078000003</v>
      </c>
      <c r="E14" s="311">
        <v>689.76308709</v>
      </c>
      <c r="F14" s="302">
        <f t="shared" si="0"/>
        <v>0.60434267923101359</v>
      </c>
      <c r="G14" s="311">
        <v>587.03486730999998</v>
      </c>
      <c r="H14" s="311">
        <v>689.76308709</v>
      </c>
      <c r="I14" s="302">
        <f t="shared" si="1"/>
        <v>0.17499509058250129</v>
      </c>
      <c r="J14" s="311">
        <v>794.55534305000003</v>
      </c>
      <c r="K14" s="311">
        <v>878.61051273999999</v>
      </c>
      <c r="L14" s="311">
        <v>928.09916739000005</v>
      </c>
      <c r="M14" s="312">
        <v>1031.82675002</v>
      </c>
      <c r="N14" t="str">
        <f t="shared" si="2"/>
        <v>BulgariaManufacture of machinery and equipment n.e.c. (C28)</v>
      </c>
      <c r="O14" s="11">
        <f>INDEX('Base de dados IHS'!$A$1:$V$676,MATCH($N14,'Base de dados IHS'!$C$1:$C$676,0),MATCH($O$1,'Base de dados IHS'!$A$1:$V$1,0))</f>
        <v>60854.013563</v>
      </c>
      <c r="P14" s="11">
        <f>INDEX('Base de dados IHS'!$A$1:$V$676,MATCH($N14,'Base de dados IHS'!$C$1:$C$676,0),MATCH($P$1,'Base de dados IHS'!$A$1:$V$1,0))</f>
        <v>70836.911882080007</v>
      </c>
      <c r="Q14" s="131">
        <f>INDEX('Base de dados IHS'!$A$1:$V$676,MATCH($N14,'Base de dados IHS'!$C$1:$C$676,0),MATCH($Q$1,'Base de dados IHS'!$A$1:$V$1,0))</f>
        <v>9.6466088748980144E-3</v>
      </c>
      <c r="R14" s="131">
        <f>INDEX('Base de dados IHS'!$A$1:$V$676,MATCH($N14,'Base de dados IHS'!$C$1:$C$676,0),MATCH($R$1,'Base de dados IHS'!$A$1:$V$1,0))</f>
        <v>9.7373398806292841E-3</v>
      </c>
      <c r="S14" s="131">
        <f>INDEX('Base de dados IHS'!$A$1:$V$676,MATCH($N14,'Base de dados IHS'!$C$1:$C$676,0),MATCH($S$1,'Base de dados IHS'!$A$1:$V$1,0))</f>
        <v>9.073100573126977E-5</v>
      </c>
      <c r="T14" t="str">
        <f>IF(Q14&lt;'Cenario A ranking setor PIB'!$G$72,"N","Y")</f>
        <v>Y</v>
      </c>
    </row>
    <row r="15" spans="1:20" x14ac:dyDescent="0.45">
      <c r="A15" s="294" t="s">
        <v>18</v>
      </c>
      <c r="B15" s="299" t="s">
        <v>6</v>
      </c>
      <c r="C15" s="297" t="s">
        <v>958</v>
      </c>
      <c r="D15" s="313">
        <v>18389.074637180001</v>
      </c>
      <c r="E15" s="313">
        <v>14090.01815631</v>
      </c>
      <c r="F15" s="304">
        <f t="shared" si="0"/>
        <v>-0.23378318733765657</v>
      </c>
      <c r="G15" s="313">
        <v>13623.34599752</v>
      </c>
      <c r="H15" s="313">
        <v>14090.01815631</v>
      </c>
      <c r="I15" s="304">
        <f t="shared" si="1"/>
        <v>3.4255326031868538E-2</v>
      </c>
      <c r="J15" s="313">
        <v>13955.3174249</v>
      </c>
      <c r="K15" s="313">
        <v>15820.378170460001</v>
      </c>
      <c r="L15" s="313">
        <v>17346.675040689999</v>
      </c>
      <c r="M15" s="314">
        <v>21192.320429020001</v>
      </c>
      <c r="N15" t="str">
        <f t="shared" si="2"/>
        <v>BrazilManufacture of machinery and equipment n.e.c. (C28)</v>
      </c>
      <c r="O15" s="11">
        <f>INDEX('Base de dados IHS'!$A$1:$V$676,MATCH($N15,'Base de dados IHS'!$C$1:$C$676,0),MATCH($O$1,'Base de dados IHS'!$A$1:$V$1,0))</f>
        <v>1855726.8356911</v>
      </c>
      <c r="P15" s="11">
        <f>INDEX('Base de dados IHS'!$A$1:$V$676,MATCH($N15,'Base de dados IHS'!$C$1:$C$676,0),MATCH($P$1,'Base de dados IHS'!$A$1:$V$1,0))</f>
        <v>1898091.4722179</v>
      </c>
      <c r="Q15" s="131">
        <f>INDEX('Base de dados IHS'!$A$1:$V$676,MATCH($N15,'Base de dados IHS'!$C$1:$C$676,0),MATCH($Q$1,'Base de dados IHS'!$A$1:$V$1,0))</f>
        <v>7.3412453468381655E-3</v>
      </c>
      <c r="R15" s="131">
        <f>INDEX('Base de dados IHS'!$A$1:$V$676,MATCH($N15,'Base de dados IHS'!$C$1:$C$676,0),MATCH($R$1,'Base de dados IHS'!$A$1:$V$1,0))</f>
        <v>7.4232556030853249E-3</v>
      </c>
      <c r="S15" s="131">
        <f>INDEX('Base de dados IHS'!$A$1:$V$676,MATCH($N15,'Base de dados IHS'!$C$1:$C$676,0),MATCH($S$1,'Base de dados IHS'!$A$1:$V$1,0))</f>
        <v>8.2010256247159324E-5</v>
      </c>
      <c r="T15" t="str">
        <f>IF(Q15&lt;'Cenario A ranking setor PIB'!$G$72,"N","Y")</f>
        <v>Y</v>
      </c>
    </row>
    <row r="16" spans="1:20" x14ac:dyDescent="0.45">
      <c r="A16" s="293" t="s">
        <v>141</v>
      </c>
      <c r="B16" s="297" t="s">
        <v>6</v>
      </c>
      <c r="C16" s="297" t="s">
        <v>958</v>
      </c>
      <c r="D16" s="311">
        <v>163459.42612987</v>
      </c>
      <c r="E16" s="311">
        <v>172755.81521038999</v>
      </c>
      <c r="F16" s="302">
        <f t="shared" si="0"/>
        <v>5.6872762254370768E-2</v>
      </c>
      <c r="G16" s="311">
        <v>166917.75456927001</v>
      </c>
      <c r="H16" s="311">
        <v>172755.81521038999</v>
      </c>
      <c r="I16" s="302">
        <f t="shared" si="1"/>
        <v>3.4975672037915073E-2</v>
      </c>
      <c r="J16" s="311">
        <v>174765.04294804999</v>
      </c>
      <c r="K16" s="311">
        <v>182125.00251953999</v>
      </c>
      <c r="L16" s="311">
        <v>187624.40222105</v>
      </c>
      <c r="M16" s="312">
        <v>203324.45348627999</v>
      </c>
      <c r="N16" t="str">
        <f t="shared" si="2"/>
        <v>United StatesManufacture of machinery and equipment n.e.c. (C28)</v>
      </c>
      <c r="O16" s="11">
        <f>INDEX('Base de dados IHS'!$A$1:$V$676,MATCH($N16,'Base de dados IHS'!$C$1:$C$676,0),MATCH($O$1,'Base de dados IHS'!$A$1:$V$1,0))</f>
        <v>19553083.060252</v>
      </c>
      <c r="P16" s="11">
        <f>INDEX('Base de dados IHS'!$A$1:$V$676,MATCH($N16,'Base de dados IHS'!$C$1:$C$676,0),MATCH($P$1,'Base de dados IHS'!$A$1:$V$1,0))</f>
        <v>22265681.170655001</v>
      </c>
      <c r="Q16" s="131">
        <f>INDEX('Base de dados IHS'!$A$1:$V$676,MATCH($N16,'Base de dados IHS'!$C$1:$C$676,0),MATCH($Q$1,'Base de dados IHS'!$A$1:$V$1,0))</f>
        <v>8.5366463209367027E-3</v>
      </c>
      <c r="R16" s="131">
        <f>INDEX('Base de dados IHS'!$A$1:$V$676,MATCH($N16,'Base de dados IHS'!$C$1:$C$676,0),MATCH($R$1,'Base de dados IHS'!$A$1:$V$1,0))</f>
        <v>7.7588380919633888E-3</v>
      </c>
      <c r="S16" s="131">
        <f>INDEX('Base de dados IHS'!$A$1:$V$676,MATCH($N16,'Base de dados IHS'!$C$1:$C$676,0),MATCH($S$1,'Base de dados IHS'!$A$1:$V$1,0))</f>
        <v>-7.7780822897331389E-4</v>
      </c>
      <c r="T16" t="str">
        <f>IF(Q16&lt;'Cenario A ranking setor PIB'!$G$72,"N","Y")</f>
        <v>Y</v>
      </c>
    </row>
    <row r="17" spans="1:20" x14ac:dyDescent="0.45">
      <c r="A17" s="293" t="s">
        <v>73</v>
      </c>
      <c r="B17" s="297" t="s">
        <v>6</v>
      </c>
      <c r="C17" s="297" t="s">
        <v>958</v>
      </c>
      <c r="D17" s="311">
        <v>9087.2660085499992</v>
      </c>
      <c r="E17" s="311">
        <v>11260.640609120001</v>
      </c>
      <c r="F17" s="302">
        <f t="shared" si="0"/>
        <v>0.23916704964123681</v>
      </c>
      <c r="G17" s="311">
        <v>9584.4468993400005</v>
      </c>
      <c r="H17" s="311">
        <v>11260.640609120001</v>
      </c>
      <c r="I17" s="302">
        <f t="shared" si="1"/>
        <v>0.17488684818061073</v>
      </c>
      <c r="J17" s="311">
        <v>11747.994488849999</v>
      </c>
      <c r="K17" s="311">
        <v>13255.270530809999</v>
      </c>
      <c r="L17" s="311">
        <v>14393.280498390001</v>
      </c>
      <c r="M17" s="312">
        <v>17269.608943560001</v>
      </c>
      <c r="N17" t="str">
        <f t="shared" si="2"/>
        <v>TaiwanManufacture of machinery and equipment n.e.c. (C28)</v>
      </c>
      <c r="O17" s="11">
        <f>INDEX('Base de dados IHS'!$A$1:$V$676,MATCH($N17,'Base de dados IHS'!$C$1:$C$676,0),MATCH($O$1,'Base de dados IHS'!$A$1:$V$1,0))</f>
        <v>546880.06131035998</v>
      </c>
      <c r="P17" s="11">
        <f>INDEX('Base de dados IHS'!$A$1:$V$676,MATCH($N17,'Base de dados IHS'!$C$1:$C$676,0),MATCH($P$1,'Base de dados IHS'!$A$1:$V$1,0))</f>
        <v>674049.24440882006</v>
      </c>
      <c r="Q17" s="131">
        <f>INDEX('Base de dados IHS'!$A$1:$V$676,MATCH($N17,'Base de dados IHS'!$C$1:$C$676,0),MATCH($Q$1,'Base de dados IHS'!$A$1:$V$1,0))</f>
        <v>1.752568355916112E-2</v>
      </c>
      <c r="R17" s="131">
        <f>INDEX('Base de dados IHS'!$A$1:$V$676,MATCH($N17,'Base de dados IHS'!$C$1:$C$676,0),MATCH($R$1,'Base de dados IHS'!$A$1:$V$1,0))</f>
        <v>1.6705961326306699E-2</v>
      </c>
      <c r="S17" s="131">
        <f>INDEX('Base de dados IHS'!$A$1:$V$676,MATCH($N17,'Base de dados IHS'!$C$1:$C$676,0),MATCH($S$1,'Base de dados IHS'!$A$1:$V$1,0))</f>
        <v>-8.1972223285442167E-4</v>
      </c>
      <c r="T17" t="str">
        <f>IF(Q17&lt;'Cenario A ranking setor PIB'!$G$72,"N","Y")</f>
        <v>Y</v>
      </c>
    </row>
    <row r="18" spans="1:20" x14ac:dyDescent="0.45">
      <c r="A18" s="293" t="s">
        <v>149</v>
      </c>
      <c r="B18" s="297" t="s">
        <v>6</v>
      </c>
      <c r="C18" s="297" t="s">
        <v>958</v>
      </c>
      <c r="D18" s="311">
        <v>1281.2158688699999</v>
      </c>
      <c r="E18" s="311">
        <v>1009.59498018</v>
      </c>
      <c r="F18" s="302">
        <f t="shared" si="0"/>
        <v>-0.21200243869096214</v>
      </c>
      <c r="G18" s="311">
        <v>1031.0244804399999</v>
      </c>
      <c r="H18" s="311">
        <v>1009.59498018</v>
      </c>
      <c r="I18" s="302">
        <f t="shared" si="1"/>
        <v>-2.0784666772271643E-2</v>
      </c>
      <c r="J18" s="311">
        <v>674.73065313999996</v>
      </c>
      <c r="K18" s="311">
        <v>839.49366006000002</v>
      </c>
      <c r="L18" s="311">
        <v>1080.57542223</v>
      </c>
      <c r="M18" s="312">
        <v>1777.4592050900001</v>
      </c>
      <c r="N18" t="str">
        <f t="shared" si="2"/>
        <v>UkraineManufacture of machinery and equipment n.e.c. (C28)</v>
      </c>
      <c r="O18" s="11">
        <f>INDEX('Base de dados IHS'!$A$1:$V$676,MATCH($N18,'Base de dados IHS'!$C$1:$C$676,0),MATCH($O$1,'Base de dados IHS'!$A$1:$V$1,0))</f>
        <v>137743.94890503999</v>
      </c>
      <c r="P18" s="11">
        <f>INDEX('Base de dados IHS'!$A$1:$V$676,MATCH($N18,'Base de dados IHS'!$C$1:$C$676,0),MATCH($P$1,'Base de dados IHS'!$A$1:$V$1,0))</f>
        <v>153275.23415388001</v>
      </c>
      <c r="Q18" s="131">
        <f>INDEX('Base de dados IHS'!$A$1:$V$676,MATCH($N18,'Base de dados IHS'!$C$1:$C$676,0),MATCH($Q$1,'Base de dados IHS'!$A$1:$V$1,0))</f>
        <v>7.4850800244646914E-3</v>
      </c>
      <c r="R18" s="131">
        <f>INDEX('Base de dados IHS'!$A$1:$V$676,MATCH($N18,'Base de dados IHS'!$C$1:$C$676,0),MATCH($R$1,'Base de dados IHS'!$A$1:$V$1,0))</f>
        <v>6.5868108814397339E-3</v>
      </c>
      <c r="S18" s="131">
        <f>INDEX('Base de dados IHS'!$A$1:$V$676,MATCH($N18,'Base de dados IHS'!$C$1:$C$676,0),MATCH($S$1,'Base de dados IHS'!$A$1:$V$1,0))</f>
        <v>-8.9826914302495748E-4</v>
      </c>
      <c r="T18" t="str">
        <f>IF(Q18&lt;'Cenario A ranking setor PIB'!$G$72,"N","Y")</f>
        <v>Y</v>
      </c>
    </row>
    <row r="19" spans="1:20" x14ac:dyDescent="0.45">
      <c r="A19" s="293" t="s">
        <v>118</v>
      </c>
      <c r="B19" s="297" t="s">
        <v>6</v>
      </c>
      <c r="C19" s="297" t="s">
        <v>958</v>
      </c>
      <c r="D19" s="311">
        <v>4233.7057206600002</v>
      </c>
      <c r="E19" s="311">
        <v>3848.4990716299999</v>
      </c>
      <c r="F19" s="302">
        <f t="shared" si="0"/>
        <v>-9.0985693018349356E-2</v>
      </c>
      <c r="G19" s="311">
        <v>4022.5481422100002</v>
      </c>
      <c r="H19" s="311">
        <v>3848.4990716299999</v>
      </c>
      <c r="I19" s="302">
        <f t="shared" si="1"/>
        <v>-4.3268362348145128E-2</v>
      </c>
      <c r="J19" s="311">
        <v>4340.5912780299996</v>
      </c>
      <c r="K19" s="311">
        <v>4502.3150635800002</v>
      </c>
      <c r="L19" s="311">
        <v>4643.4711215200005</v>
      </c>
      <c r="M19" s="312">
        <v>4925.8690673900001</v>
      </c>
      <c r="N19" t="str">
        <f t="shared" si="2"/>
        <v>BelgiumManufacture of machinery and equipment n.e.c. (C28)</v>
      </c>
      <c r="O19" s="11">
        <f>INDEX('Base de dados IHS'!$A$1:$V$676,MATCH($N19,'Base de dados IHS'!$C$1:$C$676,0),MATCH($O$1,'Base de dados IHS'!$A$1:$V$1,0))</f>
        <v>500331.50984029</v>
      </c>
      <c r="P19" s="11">
        <f>INDEX('Base de dados IHS'!$A$1:$V$676,MATCH($N19,'Base de dados IHS'!$C$1:$C$676,0),MATCH($P$1,'Base de dados IHS'!$A$1:$V$1,0))</f>
        <v>542439.84157398995</v>
      </c>
      <c r="Q19" s="131">
        <f>INDEX('Base de dados IHS'!$A$1:$V$676,MATCH($N19,'Base de dados IHS'!$C$1:$C$676,0),MATCH($Q$1,'Base de dados IHS'!$A$1:$V$1,0))</f>
        <v>8.0397657614928765E-3</v>
      </c>
      <c r="R19" s="131">
        <f>INDEX('Base de dados IHS'!$A$1:$V$676,MATCH($N19,'Base de dados IHS'!$C$1:$C$676,0),MATCH($R$1,'Base de dados IHS'!$A$1:$V$1,0))</f>
        <v>7.0947942549036682E-3</v>
      </c>
      <c r="S19" s="131">
        <f>INDEX('Base de dados IHS'!$A$1:$V$676,MATCH($N19,'Base de dados IHS'!$C$1:$C$676,0),MATCH($S$1,'Base de dados IHS'!$A$1:$V$1,0))</f>
        <v>-9.4497150658920826E-4</v>
      </c>
      <c r="T19" t="str">
        <f>IF(Q19&lt;'Cenario A ranking setor PIB'!$G$72,"N","Y")</f>
        <v>Y</v>
      </c>
    </row>
    <row r="20" spans="1:20" x14ac:dyDescent="0.45">
      <c r="A20" s="293" t="s">
        <v>111</v>
      </c>
      <c r="B20" s="297" t="s">
        <v>6</v>
      </c>
      <c r="C20" s="297" t="s">
        <v>958</v>
      </c>
      <c r="D20" s="311">
        <v>3956.5136725000002</v>
      </c>
      <c r="E20" s="311">
        <v>4968.4318081000001</v>
      </c>
      <c r="F20" s="302">
        <f t="shared" si="0"/>
        <v>0.25576005022639037</v>
      </c>
      <c r="G20" s="311">
        <v>4652.70848475</v>
      </c>
      <c r="H20" s="311">
        <v>4968.4318081000001</v>
      </c>
      <c r="I20" s="302">
        <f t="shared" si="1"/>
        <v>6.7857963675316046E-2</v>
      </c>
      <c r="J20" s="311">
        <v>5854.8543593200002</v>
      </c>
      <c r="K20" s="311">
        <v>6406.2526240400002</v>
      </c>
      <c r="L20" s="311">
        <v>6820.2732788499998</v>
      </c>
      <c r="M20" s="312">
        <v>7680.8548589700004</v>
      </c>
      <c r="N20" t="str">
        <f t="shared" si="2"/>
        <v>Czech RepublicManufacture of machinery and equipment n.e.c. (C28)</v>
      </c>
      <c r="O20" s="11">
        <f>INDEX('Base de dados IHS'!$A$1:$V$676,MATCH($N20,'Base de dados IHS'!$C$1:$C$676,0),MATCH($O$1,'Base de dados IHS'!$A$1:$V$1,0))</f>
        <v>220291.04889604999</v>
      </c>
      <c r="P20" s="11">
        <f>INDEX('Base de dados IHS'!$A$1:$V$676,MATCH($N20,'Base de dados IHS'!$C$1:$C$676,0),MATCH($P$1,'Base de dados IHS'!$A$1:$V$1,0))</f>
        <v>247058.51905223</v>
      </c>
      <c r="Q20" s="131">
        <f>INDEX('Base de dados IHS'!$A$1:$V$676,MATCH($N20,'Base de dados IHS'!$C$1:$C$676,0),MATCH($Q$1,'Base de dados IHS'!$A$1:$V$1,0))</f>
        <v>2.1120733266586336E-2</v>
      </c>
      <c r="R20" s="131">
        <f>INDEX('Base de dados IHS'!$A$1:$V$676,MATCH($N20,'Base de dados IHS'!$C$1:$C$676,0),MATCH($R$1,'Base de dados IHS'!$A$1:$V$1,0))</f>
        <v>2.0110344007403514E-2</v>
      </c>
      <c r="S20" s="131">
        <f>INDEX('Base de dados IHS'!$A$1:$V$676,MATCH($N20,'Base de dados IHS'!$C$1:$C$676,0),MATCH($S$1,'Base de dados IHS'!$A$1:$V$1,0))</f>
        <v>-1.0103892591828215E-3</v>
      </c>
      <c r="T20" t="str">
        <f>IF(Q20&lt;'Cenario A ranking setor PIB'!$G$72,"N","Y")</f>
        <v>Y</v>
      </c>
    </row>
    <row r="21" spans="1:20" x14ac:dyDescent="0.45">
      <c r="A21" s="293" t="s">
        <v>67</v>
      </c>
      <c r="B21" s="297" t="s">
        <v>6</v>
      </c>
      <c r="C21" s="297" t="s">
        <v>958</v>
      </c>
      <c r="D21" s="311">
        <v>11388.646235419999</v>
      </c>
      <c r="E21" s="311">
        <v>11699.09984162</v>
      </c>
      <c r="F21" s="302">
        <f t="shared" si="0"/>
        <v>2.7259921836403578E-2</v>
      </c>
      <c r="G21" s="311">
        <v>11285.365378160001</v>
      </c>
      <c r="H21" s="311">
        <v>11699.09984162</v>
      </c>
      <c r="I21" s="302">
        <f t="shared" si="1"/>
        <v>3.6661149160547302E-2</v>
      </c>
      <c r="J21" s="311">
        <v>12804.249597219999</v>
      </c>
      <c r="K21" s="311">
        <v>13487.591375849999</v>
      </c>
      <c r="L21" s="311">
        <v>13997.941569799999</v>
      </c>
      <c r="M21" s="312">
        <v>15135.467456410001</v>
      </c>
      <c r="N21" t="str">
        <f t="shared" si="2"/>
        <v>SwitzerlandManufacture of machinery and equipment n.e.c. (C28)</v>
      </c>
      <c r="O21" s="11">
        <f>INDEX('Base de dados IHS'!$A$1:$V$676,MATCH($N21,'Base de dados IHS'!$C$1:$C$676,0),MATCH($O$1,'Base de dados IHS'!$A$1:$V$1,0))</f>
        <v>669989.49931316997</v>
      </c>
      <c r="P21" s="11">
        <f>INDEX('Base de dados IHS'!$A$1:$V$676,MATCH($N21,'Base de dados IHS'!$C$1:$C$676,0),MATCH($P$1,'Base de dados IHS'!$A$1:$V$1,0))</f>
        <v>743458.79269773001</v>
      </c>
      <c r="Q21" s="131">
        <f>INDEX('Base de dados IHS'!$A$1:$V$676,MATCH($N21,'Base de dados IHS'!$C$1:$C$676,0),MATCH($Q$1,'Base de dados IHS'!$A$1:$V$1,0))</f>
        <v>1.6844092914484524E-2</v>
      </c>
      <c r="R21" s="131">
        <f>INDEX('Base de dados IHS'!$A$1:$V$676,MATCH($N21,'Base de dados IHS'!$C$1:$C$676,0),MATCH($R$1,'Base de dados IHS'!$A$1:$V$1,0))</f>
        <v>1.573604341831563E-2</v>
      </c>
      <c r="S21" s="131">
        <f>INDEX('Base de dados IHS'!$A$1:$V$676,MATCH($N21,'Base de dados IHS'!$C$1:$C$676,0),MATCH($S$1,'Base de dados IHS'!$A$1:$V$1,0))</f>
        <v>-1.108049496168894E-3</v>
      </c>
      <c r="T21" t="str">
        <f>IF(Q21&lt;'Cenario A ranking setor PIB'!$G$72,"N","Y")</f>
        <v>Y</v>
      </c>
    </row>
    <row r="22" spans="1:20" hidden="1" x14ac:dyDescent="0.45">
      <c r="A22" s="293" t="s">
        <v>170</v>
      </c>
      <c r="B22" s="297" t="s">
        <v>6</v>
      </c>
      <c r="C22" s="297" t="s">
        <v>958</v>
      </c>
      <c r="D22" s="311">
        <v>1311.94628898</v>
      </c>
      <c r="E22" s="311">
        <v>2492.78852044</v>
      </c>
      <c r="F22" s="302">
        <f t="shared" si="0"/>
        <v>0.90006903588871046</v>
      </c>
      <c r="G22" s="311">
        <v>1185.303938</v>
      </c>
      <c r="H22" s="311">
        <v>2492.78852044</v>
      </c>
      <c r="I22" s="302">
        <f t="shared" si="1"/>
        <v>1.1030795904096626</v>
      </c>
      <c r="J22" s="311">
        <v>2961.8267071099999</v>
      </c>
      <c r="K22" s="311">
        <v>3284.38197236</v>
      </c>
      <c r="L22" s="311">
        <v>3536.3047359900002</v>
      </c>
      <c r="M22" s="312">
        <v>4146.0247967300002</v>
      </c>
      <c r="N22" t="str">
        <f t="shared" si="2"/>
        <v>ChileManufacture of machinery and equipment n.e.c. (C28)</v>
      </c>
      <c r="O22" s="11">
        <f>INDEX('Base de dados IHS'!$A$1:$V$676,MATCH($N22,'Base de dados IHS'!$C$1:$C$676,0),MATCH($O$1,'Base de dados IHS'!$A$1:$V$1,0))</f>
        <v>257576.69277617999</v>
      </c>
      <c r="P22" s="11">
        <f>INDEX('Base de dados IHS'!$A$1:$V$676,MATCH($N22,'Base de dados IHS'!$C$1:$C$676,0),MATCH($P$1,'Base de dados IHS'!$A$1:$V$1,0))</f>
        <v>291863.26262717001</v>
      </c>
      <c r="Q22" s="131">
        <f>INDEX('Base de dados IHS'!$A$1:$V$676,MATCH($N22,'Base de dados IHS'!$C$1:$C$676,0),MATCH($Q$1,'Base de dados IHS'!$A$1:$V$1,0))</f>
        <v>4.601751521943657E-3</v>
      </c>
      <c r="R22" s="131">
        <f>INDEX('Base de dados IHS'!$A$1:$V$676,MATCH($N22,'Base de dados IHS'!$C$1:$C$676,0),MATCH($R$1,'Base de dados IHS'!$A$1:$V$1,0))</f>
        <v>8.5409465309250684E-3</v>
      </c>
      <c r="S22" s="131">
        <f>INDEX('Base de dados IHS'!$A$1:$V$676,MATCH($N22,'Base de dados IHS'!$C$1:$C$676,0),MATCH($S$1,'Base de dados IHS'!$A$1:$V$1,0))</f>
        <v>3.9391950089814115E-3</v>
      </c>
      <c r="T22" t="str">
        <f>IF(Q22&lt;'Cenario A ranking setor PIB'!$G$72,"N","Y")</f>
        <v>N</v>
      </c>
    </row>
    <row r="23" spans="1:20" hidden="1" x14ac:dyDescent="0.45">
      <c r="A23" s="293" t="s">
        <v>112</v>
      </c>
      <c r="B23" s="297" t="s">
        <v>6</v>
      </c>
      <c r="C23" s="297" t="s">
        <v>958</v>
      </c>
      <c r="D23" s="311">
        <v>3340.9800778200001</v>
      </c>
      <c r="E23" s="311">
        <v>5189.4070813199996</v>
      </c>
      <c r="F23" s="302">
        <f t="shared" si="0"/>
        <v>0.55325891218905565</v>
      </c>
      <c r="G23" s="311">
        <v>3559.6490669200002</v>
      </c>
      <c r="H23" s="311">
        <v>5189.4070813199996</v>
      </c>
      <c r="I23" s="302">
        <f t="shared" si="1"/>
        <v>0.4578423276455601</v>
      </c>
      <c r="J23" s="311">
        <v>7375.7568928199998</v>
      </c>
      <c r="K23" s="311">
        <v>8471.0484973500006</v>
      </c>
      <c r="L23" s="311">
        <v>9242.0084086099996</v>
      </c>
      <c r="M23" s="312">
        <v>10786.94576538</v>
      </c>
      <c r="N23" t="str">
        <f t="shared" si="2"/>
        <v>PolandManufacture of machinery and equipment n.e.c. (C28)</v>
      </c>
      <c r="O23" s="11">
        <f>INDEX('Base de dados IHS'!$A$1:$V$676,MATCH($N23,'Base de dados IHS'!$C$1:$C$676,0),MATCH($O$1,'Base de dados IHS'!$A$1:$V$1,0))</f>
        <v>496555.53410177003</v>
      </c>
      <c r="P23" s="11">
        <f>INDEX('Base de dados IHS'!$A$1:$V$676,MATCH($N23,'Base de dados IHS'!$C$1:$C$676,0),MATCH($P$1,'Base de dados IHS'!$A$1:$V$1,0))</f>
        <v>623108.57565016998</v>
      </c>
      <c r="Q23" s="131">
        <f>INDEX('Base de dados IHS'!$A$1:$V$676,MATCH($N23,'Base de dados IHS'!$C$1:$C$676,0),MATCH($Q$1,'Base de dados IHS'!$A$1:$V$1,0))</f>
        <v>7.1686827000309759E-3</v>
      </c>
      <c r="R23" s="131">
        <f>INDEX('Base de dados IHS'!$A$1:$V$676,MATCH($N23,'Base de dados IHS'!$C$1:$C$676,0),MATCH($R$1,'Base de dados IHS'!$A$1:$V$1,0))</f>
        <v>8.3282549528470515E-3</v>
      </c>
      <c r="S23" s="131">
        <f>INDEX('Base de dados IHS'!$A$1:$V$676,MATCH($N23,'Base de dados IHS'!$C$1:$C$676,0),MATCH($S$1,'Base de dados IHS'!$A$1:$V$1,0))</f>
        <v>1.1595722528160756E-3</v>
      </c>
      <c r="T23" t="str">
        <f>IF(Q23&lt;'Cenario A ranking setor PIB'!$G$72,"N","Y")</f>
        <v>N</v>
      </c>
    </row>
    <row r="24" spans="1:20" x14ac:dyDescent="0.45">
      <c r="A24" s="293" t="s">
        <v>98</v>
      </c>
      <c r="B24" s="297" t="s">
        <v>6</v>
      </c>
      <c r="C24" s="297" t="s">
        <v>958</v>
      </c>
      <c r="D24" s="311">
        <v>99035.978393779995</v>
      </c>
      <c r="E24" s="311">
        <v>107974.64885122</v>
      </c>
      <c r="F24" s="302">
        <f t="shared" si="0"/>
        <v>9.0256799623856798E-2</v>
      </c>
      <c r="G24" s="311">
        <v>108105.5672644</v>
      </c>
      <c r="H24" s="311">
        <v>107974.64885122</v>
      </c>
      <c r="I24" s="302">
        <f t="shared" si="1"/>
        <v>-1.2110237843699911E-3</v>
      </c>
      <c r="J24" s="311">
        <v>112202.9741217</v>
      </c>
      <c r="K24" s="311">
        <v>117913.19517951</v>
      </c>
      <c r="L24" s="311">
        <v>121545.61676655999</v>
      </c>
      <c r="M24" s="312">
        <v>128448.23327778</v>
      </c>
      <c r="N24" t="str">
        <f t="shared" si="2"/>
        <v>GermanyManufacture of machinery and equipment n.e.c. (C28)</v>
      </c>
      <c r="O24" s="11">
        <f>INDEX('Base de dados IHS'!$A$1:$V$676,MATCH($N24,'Base de dados IHS'!$C$1:$C$676,0),MATCH($O$1,'Base de dados IHS'!$A$1:$V$1,0))</f>
        <v>3626843.1759532001</v>
      </c>
      <c r="P24" s="11">
        <f>INDEX('Base de dados IHS'!$A$1:$V$676,MATCH($N24,'Base de dados IHS'!$C$1:$C$676,0),MATCH($P$1,'Base de dados IHS'!$A$1:$V$1,0))</f>
        <v>3849084.4984781002</v>
      </c>
      <c r="Q24" s="131">
        <f>INDEX('Base de dados IHS'!$A$1:$V$676,MATCH($N24,'Base de dados IHS'!$C$1:$C$676,0),MATCH($Q$1,'Base de dados IHS'!$A$1:$V$1,0))</f>
        <v>2.9807069680091117E-2</v>
      </c>
      <c r="R24" s="131">
        <f>INDEX('Base de dados IHS'!$A$1:$V$676,MATCH($N24,'Base de dados IHS'!$C$1:$C$676,0),MATCH($R$1,'Base de dados IHS'!$A$1:$V$1,0))</f>
        <v>2.8052033904143282E-2</v>
      </c>
      <c r="S24" s="131">
        <f>INDEX('Base de dados IHS'!$A$1:$V$676,MATCH($N24,'Base de dados IHS'!$C$1:$C$676,0),MATCH($S$1,'Base de dados IHS'!$A$1:$V$1,0))</f>
        <v>-1.7550357759478358E-3</v>
      </c>
      <c r="T24" t="str">
        <f>IF(Q24&lt;'Cenario A ranking setor PIB'!$G$72,"N","Y")</f>
        <v>Y</v>
      </c>
    </row>
    <row r="25" spans="1:20" x14ac:dyDescent="0.45">
      <c r="A25" s="293" t="s">
        <v>127</v>
      </c>
      <c r="B25" s="297" t="s">
        <v>6</v>
      </c>
      <c r="C25" s="297" t="s">
        <v>958</v>
      </c>
      <c r="D25" s="311">
        <v>1361.43384034</v>
      </c>
      <c r="E25" s="311">
        <v>5063.8829165699999</v>
      </c>
      <c r="F25" s="302">
        <f t="shared" si="0"/>
        <v>2.7195218500704836</v>
      </c>
      <c r="G25" s="311">
        <v>4439.2892836399997</v>
      </c>
      <c r="H25" s="311">
        <v>5063.8829165699999</v>
      </c>
      <c r="I25" s="302">
        <f t="shared" si="1"/>
        <v>0.14069676315796742</v>
      </c>
      <c r="J25" s="311">
        <v>5648.5246052100001</v>
      </c>
      <c r="K25" s="311">
        <v>6079.80302975</v>
      </c>
      <c r="L25" s="311">
        <v>6390.1957356399998</v>
      </c>
      <c r="M25" s="312">
        <v>7215.9656871899997</v>
      </c>
      <c r="N25" t="str">
        <f t="shared" si="2"/>
        <v>IrelandManufacture of machinery and equipment n.e.c. (C28)</v>
      </c>
      <c r="O25" s="11">
        <f>INDEX('Base de dados IHS'!$A$1:$V$676,MATCH($N25,'Base de dados IHS'!$C$1:$C$676,0),MATCH($O$1,'Base de dados IHS'!$A$1:$V$1,0))</f>
        <v>308812.05776281998</v>
      </c>
      <c r="P25" s="11">
        <f>INDEX('Base de dados IHS'!$A$1:$V$676,MATCH($N25,'Base de dados IHS'!$C$1:$C$676,0),MATCH($P$1,'Base de dados IHS'!$A$1:$V$1,0))</f>
        <v>483748.84960921999</v>
      </c>
      <c r="Q25" s="131">
        <f>INDEX('Base de dados IHS'!$A$1:$V$676,MATCH($N25,'Base de dados IHS'!$C$1:$C$676,0),MATCH($Q$1,'Base de dados IHS'!$A$1:$V$1,0))</f>
        <v>1.4375375481774587E-2</v>
      </c>
      <c r="R25" s="131">
        <f>INDEX('Base de dados IHS'!$A$1:$V$676,MATCH($N25,'Base de dados IHS'!$C$1:$C$676,0),MATCH($R$1,'Base de dados IHS'!$A$1:$V$1,0))</f>
        <v>1.0467999914957286E-2</v>
      </c>
      <c r="S25" s="131">
        <f>INDEX('Base de dados IHS'!$A$1:$V$676,MATCH($N25,'Base de dados IHS'!$C$1:$C$676,0),MATCH($S$1,'Base de dados IHS'!$A$1:$V$1,0))</f>
        <v>-3.9073755668173008E-3</v>
      </c>
      <c r="T25" t="str">
        <f>IF(Q25&lt;'Cenario A ranking setor PIB'!$G$72,"N","Y")</f>
        <v>Y</v>
      </c>
    </row>
    <row r="26" spans="1:20" hidden="1" x14ac:dyDescent="0.45">
      <c r="A26" s="293" t="s">
        <v>75</v>
      </c>
      <c r="B26" s="297" t="s">
        <v>6</v>
      </c>
      <c r="C26" s="297" t="s">
        <v>958</v>
      </c>
      <c r="D26" s="311">
        <v>7211.5755802599997</v>
      </c>
      <c r="E26" s="311">
        <v>9219.1285723799992</v>
      </c>
      <c r="F26" s="302">
        <f t="shared" si="0"/>
        <v>0.27837924871996145</v>
      </c>
      <c r="G26" s="311">
        <v>8402.4572535700008</v>
      </c>
      <c r="H26" s="311">
        <v>9219.1285723799992</v>
      </c>
      <c r="I26" s="302">
        <f t="shared" si="1"/>
        <v>9.7194343769260394E-2</v>
      </c>
      <c r="J26" s="311">
        <v>10848.84029455</v>
      </c>
      <c r="K26" s="311">
        <v>12191.137103659999</v>
      </c>
      <c r="L26" s="311">
        <v>13208.24803339</v>
      </c>
      <c r="M26" s="312">
        <v>15757.038162000001</v>
      </c>
      <c r="N26" t="str">
        <f t="shared" si="2"/>
        <v>MexicoManufacture of machinery and equipment n.e.c. (C28)</v>
      </c>
      <c r="O26" s="11">
        <f>INDEX('Base de dados IHS'!$A$1:$V$676,MATCH($N26,'Base de dados IHS'!$C$1:$C$676,0),MATCH($O$1,'Base de dados IHS'!$A$1:$V$1,0))</f>
        <v>1239119.2771185001</v>
      </c>
      <c r="P26" s="11">
        <f>INDEX('Base de dados IHS'!$A$1:$V$676,MATCH($N26,'Base de dados IHS'!$C$1:$C$676,0),MATCH($P$1,'Base de dados IHS'!$A$1:$V$1,0))</f>
        <v>1262038.2891611001</v>
      </c>
      <c r="Q26" s="131">
        <f>INDEX('Base de dados IHS'!$A$1:$V$676,MATCH($N26,'Base de dados IHS'!$C$1:$C$676,0),MATCH($Q$1,'Base de dados IHS'!$A$1:$V$1,0))</f>
        <v>6.7809914741294537E-3</v>
      </c>
      <c r="R26" s="131">
        <f>INDEX('Base de dados IHS'!$A$1:$V$676,MATCH($N26,'Base de dados IHS'!$C$1:$C$676,0),MATCH($R$1,'Base de dados IHS'!$A$1:$V$1,0))</f>
        <v>7.3049515625299476E-3</v>
      </c>
      <c r="S26" s="131">
        <f>INDEX('Base de dados IHS'!$A$1:$V$676,MATCH($N26,'Base de dados IHS'!$C$1:$C$676,0),MATCH($S$1,'Base de dados IHS'!$A$1:$V$1,0))</f>
        <v>5.2396008840049392E-4</v>
      </c>
      <c r="T26" t="str">
        <f>IF(Q26&lt;'Cenario A ranking setor PIB'!$G$72,"N","Y")</f>
        <v>N</v>
      </c>
    </row>
    <row r="27" spans="1:20" hidden="1" x14ac:dyDescent="0.45">
      <c r="A27" s="293" t="s">
        <v>76</v>
      </c>
      <c r="B27" s="297" t="s">
        <v>6</v>
      </c>
      <c r="C27" s="297" t="s">
        <v>958</v>
      </c>
      <c r="D27" s="311">
        <v>18829.060878979999</v>
      </c>
      <c r="E27" s="311">
        <v>20152.225242690001</v>
      </c>
      <c r="F27" s="302">
        <f t="shared" si="0"/>
        <v>7.027245661450543E-2</v>
      </c>
      <c r="G27" s="311">
        <v>18983.06053223</v>
      </c>
      <c r="H27" s="311">
        <v>20152.225242690001</v>
      </c>
      <c r="I27" s="302">
        <f t="shared" si="1"/>
        <v>6.1589895289801078E-2</v>
      </c>
      <c r="J27" s="311">
        <v>16874.42912406</v>
      </c>
      <c r="K27" s="311">
        <v>17465.779088619998</v>
      </c>
      <c r="L27" s="311">
        <v>17873.26703046</v>
      </c>
      <c r="M27" s="312">
        <v>19113.64938286</v>
      </c>
      <c r="N27" t="str">
        <f t="shared" si="2"/>
        <v>United KingdomManufacture of machinery and equipment n.e.c. (C28)</v>
      </c>
      <c r="O27" s="11">
        <f>INDEX('Base de dados IHS'!$A$1:$V$676,MATCH($N27,'Base de dados IHS'!$C$1:$C$676,0),MATCH($O$1,'Base de dados IHS'!$A$1:$V$1,0))</f>
        <v>2643868.3114987002</v>
      </c>
      <c r="P27" s="11">
        <f>INDEX('Base de dados IHS'!$A$1:$V$676,MATCH($N27,'Base de dados IHS'!$C$1:$C$676,0),MATCH($P$1,'Base de dados IHS'!$A$1:$V$1,0))</f>
        <v>2777419.6130784</v>
      </c>
      <c r="Q27" s="131">
        <f>INDEX('Base de dados IHS'!$A$1:$V$676,MATCH($N27,'Base de dados IHS'!$C$1:$C$676,0),MATCH($Q$1,'Base de dados IHS'!$A$1:$V$1,0))</f>
        <v>7.1800325491511658E-3</v>
      </c>
      <c r="R27" s="131">
        <f>INDEX('Base de dados IHS'!$A$1:$V$676,MATCH($N27,'Base de dados IHS'!$C$1:$C$676,0),MATCH($R$1,'Base de dados IHS'!$A$1:$V$1,0))</f>
        <v>7.2557366369116767E-3</v>
      </c>
      <c r="S27" s="131">
        <f>INDEX('Base de dados IHS'!$A$1:$V$676,MATCH($N27,'Base de dados IHS'!$C$1:$C$676,0),MATCH($S$1,'Base de dados IHS'!$A$1:$V$1,0))</f>
        <v>7.5704087760510887E-5</v>
      </c>
      <c r="T27" t="str">
        <f>IF(Q27&lt;'Cenario A ranking setor PIB'!$G$72,"N","Y")</f>
        <v>N</v>
      </c>
    </row>
    <row r="28" spans="1:20" x14ac:dyDescent="0.45">
      <c r="A28" s="293" t="s">
        <v>157</v>
      </c>
      <c r="B28" s="297" t="s">
        <v>6</v>
      </c>
      <c r="C28" s="297" t="s">
        <v>958</v>
      </c>
      <c r="D28" s="311">
        <v>1648.2439217900001</v>
      </c>
      <c r="E28" s="311">
        <v>1895.5079022100001</v>
      </c>
      <c r="F28" s="302">
        <f t="shared" si="0"/>
        <v>0.15001661899136276</v>
      </c>
      <c r="G28" s="311">
        <v>2265.9732806400002</v>
      </c>
      <c r="H28" s="311">
        <v>1895.5079022100001</v>
      </c>
      <c r="I28" s="302">
        <f t="shared" si="1"/>
        <v>-0.16349062082734089</v>
      </c>
      <c r="J28" s="311">
        <v>2144.04308932</v>
      </c>
      <c r="K28" s="311">
        <v>2437.5645413299999</v>
      </c>
      <c r="L28" s="311">
        <v>2632.1250593700001</v>
      </c>
      <c r="M28" s="312">
        <v>3218.6528522600001</v>
      </c>
      <c r="N28" t="str">
        <f t="shared" si="2"/>
        <v>SlovakiaManufacture of machinery and equipment n.e.c. (C28)</v>
      </c>
      <c r="O28" s="11">
        <f>INDEX('Base de dados IHS'!$A$1:$V$676,MATCH($N28,'Base de dados IHS'!$C$1:$C$676,0),MATCH($O$1,'Base de dados IHS'!$A$1:$V$1,0))</f>
        <v>94460.171576160006</v>
      </c>
      <c r="P28" s="11">
        <f>INDEX('Base de dados IHS'!$A$1:$V$676,MATCH($N28,'Base de dados IHS'!$C$1:$C$676,0),MATCH($P$1,'Base de dados IHS'!$A$1:$V$1,0))</f>
        <v>107076.6714533</v>
      </c>
      <c r="Q28" s="131">
        <f>INDEX('Base de dados IHS'!$A$1:$V$676,MATCH($N28,'Base de dados IHS'!$C$1:$C$676,0),MATCH($Q$1,'Base de dados IHS'!$A$1:$V$1,0))</f>
        <v>2.3988663611657992E-2</v>
      </c>
      <c r="R28" s="131">
        <f>INDEX('Base de dados IHS'!$A$1:$V$676,MATCH($N28,'Base de dados IHS'!$C$1:$C$676,0),MATCH($R$1,'Base de dados IHS'!$A$1:$V$1,0))</f>
        <v>1.770234241019249E-2</v>
      </c>
      <c r="S28" s="131">
        <f>INDEX('Base de dados IHS'!$A$1:$V$676,MATCH($N28,'Base de dados IHS'!$C$1:$C$676,0),MATCH($S$1,'Base de dados IHS'!$A$1:$V$1,0))</f>
        <v>-6.2863212014655015E-3</v>
      </c>
      <c r="T28" t="str">
        <f>IF(Q28&lt;'Cenario A ranking setor PIB'!$G$72,"N","Y")</f>
        <v>Y</v>
      </c>
    </row>
    <row r="29" spans="1:20" hidden="1" x14ac:dyDescent="0.45">
      <c r="A29" s="293" t="s">
        <v>63</v>
      </c>
      <c r="B29" s="297" t="s">
        <v>6</v>
      </c>
      <c r="C29" s="297" t="s">
        <v>958</v>
      </c>
      <c r="D29" s="311">
        <v>9534.6611002499994</v>
      </c>
      <c r="E29" s="311">
        <v>12365.606797689999</v>
      </c>
      <c r="F29" s="302">
        <f t="shared" si="0"/>
        <v>0.29691099323559311</v>
      </c>
      <c r="G29" s="311">
        <v>11639.42094443</v>
      </c>
      <c r="H29" s="311">
        <v>12365.606797689999</v>
      </c>
      <c r="I29" s="302">
        <f t="shared" si="1"/>
        <v>6.2390204523663506E-2</v>
      </c>
      <c r="J29" s="311">
        <v>14538.39540748</v>
      </c>
      <c r="K29" s="311">
        <v>15354.351385219999</v>
      </c>
      <c r="L29" s="311">
        <v>15962.43673693</v>
      </c>
      <c r="M29" s="312">
        <v>17712.091040989999</v>
      </c>
      <c r="N29" t="str">
        <f t="shared" si="2"/>
        <v>CanadaManufacture of machinery and equipment n.e.c. (C28)</v>
      </c>
      <c r="O29" s="11">
        <f>INDEX('Base de dados IHS'!$A$1:$V$676,MATCH($N29,'Base de dados IHS'!$C$1:$C$676,0),MATCH($O$1,'Base de dados IHS'!$A$1:$V$1,0))</f>
        <v>1599989.9756132001</v>
      </c>
      <c r="P29" s="11">
        <f>INDEX('Base de dados IHS'!$A$1:$V$676,MATCH($N29,'Base de dados IHS'!$C$1:$C$676,0),MATCH($P$1,'Base de dados IHS'!$A$1:$V$1,0))</f>
        <v>1743385.5162593001</v>
      </c>
      <c r="Q29" s="131">
        <f>INDEX('Base de dados IHS'!$A$1:$V$676,MATCH($N29,'Base de dados IHS'!$C$1:$C$676,0),MATCH($Q$1,'Base de dados IHS'!$A$1:$V$1,0))</f>
        <v>7.2746836679205831E-3</v>
      </c>
      <c r="R29" s="131">
        <f>INDEX('Base de dados IHS'!$A$1:$V$676,MATCH($N29,'Base de dados IHS'!$C$1:$C$676,0),MATCH($R$1,'Base de dados IHS'!$A$1:$V$1,0))</f>
        <v>7.092869983354168E-3</v>
      </c>
      <c r="S29" s="131">
        <f>INDEX('Base de dados IHS'!$A$1:$V$676,MATCH($N29,'Base de dados IHS'!$C$1:$C$676,0),MATCH($S$1,'Base de dados IHS'!$A$1:$V$1,0))</f>
        <v>-1.8181368456641513E-4</v>
      </c>
      <c r="T29" t="str">
        <f>IF(Q29&lt;'Cenario A ranking setor PIB'!$G$72,"N","Y")</f>
        <v>N</v>
      </c>
    </row>
    <row r="30" spans="1:20" hidden="1" x14ac:dyDescent="0.45">
      <c r="A30" s="293" t="s">
        <v>163</v>
      </c>
      <c r="B30" s="297" t="s">
        <v>6</v>
      </c>
      <c r="C30" s="297" t="s">
        <v>958</v>
      </c>
      <c r="D30" s="311">
        <v>1011.28048355</v>
      </c>
      <c r="E30" s="311">
        <v>1558.03205832</v>
      </c>
      <c r="F30" s="302">
        <f t="shared" si="0"/>
        <v>0.54065275031382276</v>
      </c>
      <c r="G30" s="311">
        <v>1071.67271878</v>
      </c>
      <c r="H30" s="311">
        <v>1558.03205832</v>
      </c>
      <c r="I30" s="302">
        <f t="shared" si="1"/>
        <v>0.45383196848910656</v>
      </c>
      <c r="J30" s="311">
        <v>1575.8532499400001</v>
      </c>
      <c r="K30" s="311">
        <v>1683.9536770300001</v>
      </c>
      <c r="L30" s="311">
        <v>1772.1194760599999</v>
      </c>
      <c r="M30" s="312">
        <v>1974.6740093599999</v>
      </c>
      <c r="N30" t="str">
        <f t="shared" si="2"/>
        <v>New ZealandManufacture of machinery and equipment n.e.c. (C28)</v>
      </c>
      <c r="O30" s="11">
        <f>INDEX('Base de dados IHS'!$A$1:$V$676,MATCH($N30,'Base de dados IHS'!$C$1:$C$676,0),MATCH($O$1,'Base de dados IHS'!$A$1:$V$1,0))</f>
        <v>180884.85070677</v>
      </c>
      <c r="P30" s="11">
        <f>INDEX('Base de dados IHS'!$A$1:$V$676,MATCH($N30,'Base de dados IHS'!$C$1:$C$676,0),MATCH($P$1,'Base de dados IHS'!$A$1:$V$1,0))</f>
        <v>220909.49174857</v>
      </c>
      <c r="Q30" s="131">
        <f>INDEX('Base de dados IHS'!$A$1:$V$676,MATCH($N30,'Base de dados IHS'!$C$1:$C$676,0),MATCH($Q$1,'Base de dados IHS'!$A$1:$V$1,0))</f>
        <v>5.9246128937424074E-3</v>
      </c>
      <c r="R30" s="131">
        <f>INDEX('Base de dados IHS'!$A$1:$V$676,MATCH($N30,'Base de dados IHS'!$C$1:$C$676,0),MATCH($R$1,'Base de dados IHS'!$A$1:$V$1,0))</f>
        <v>7.0528072197698381E-3</v>
      </c>
      <c r="S30" s="131">
        <f>INDEX('Base de dados IHS'!$A$1:$V$676,MATCH($N30,'Base de dados IHS'!$C$1:$C$676,0),MATCH($S$1,'Base de dados IHS'!$A$1:$V$1,0))</f>
        <v>1.1281943260274306E-3</v>
      </c>
      <c r="T30" t="str">
        <f>IF(Q30&lt;'Cenario A ranking setor PIB'!$G$72,"N","Y")</f>
        <v>N</v>
      </c>
    </row>
    <row r="31" spans="1:20" hidden="1" x14ac:dyDescent="0.45">
      <c r="A31" s="293" t="s">
        <v>109</v>
      </c>
      <c r="B31" s="297" t="s">
        <v>6</v>
      </c>
      <c r="C31" s="297" t="s">
        <v>958</v>
      </c>
      <c r="D31" s="311">
        <v>2575.74298168</v>
      </c>
      <c r="E31" s="311">
        <v>3634.5881429000001</v>
      </c>
      <c r="F31" s="302">
        <f t="shared" si="0"/>
        <v>0.41108339176348263</v>
      </c>
      <c r="G31" s="311">
        <v>3207.1484987200001</v>
      </c>
      <c r="H31" s="311">
        <v>3634.5881429000001</v>
      </c>
      <c r="I31" s="302">
        <f t="shared" si="1"/>
        <v>0.13327716017845592</v>
      </c>
      <c r="J31" s="311">
        <v>4169.0949344399996</v>
      </c>
      <c r="K31" s="311">
        <v>4938.35429776</v>
      </c>
      <c r="L31" s="311">
        <v>5556.1213300500003</v>
      </c>
      <c r="M31" s="312">
        <v>7132.1195408200001</v>
      </c>
      <c r="N31" t="str">
        <f t="shared" si="2"/>
        <v>ThailandManufacture of machinery and equipment n.e.c. (C28)</v>
      </c>
      <c r="O31" s="11">
        <f>INDEX('Base de dados IHS'!$A$1:$V$676,MATCH($N31,'Base de dados IHS'!$C$1:$C$676,0),MATCH($O$1,'Base de dados IHS'!$A$1:$V$1,0))</f>
        <v>474324.68093352998</v>
      </c>
      <c r="P31" s="11">
        <f>INDEX('Base de dados IHS'!$A$1:$V$676,MATCH($N31,'Base de dados IHS'!$C$1:$C$676,0),MATCH($P$1,'Base de dados IHS'!$A$1:$V$1,0))</f>
        <v>518585.14704719</v>
      </c>
      <c r="Q31" s="131">
        <f>INDEX('Base de dados IHS'!$A$1:$V$676,MATCH($N31,'Base de dados IHS'!$C$1:$C$676,0),MATCH($Q$1,'Base de dados IHS'!$A$1:$V$1,0))</f>
        <v>6.7615045719483392E-3</v>
      </c>
      <c r="R31" s="131">
        <f>INDEX('Base de dados IHS'!$A$1:$V$676,MATCH($N31,'Base de dados IHS'!$C$1:$C$676,0),MATCH($R$1,'Base de dados IHS'!$A$1:$V$1,0))</f>
        <v>7.0086622488037846E-3</v>
      </c>
      <c r="S31" s="131">
        <f>INDEX('Base de dados IHS'!$A$1:$V$676,MATCH($N31,'Base de dados IHS'!$C$1:$C$676,0),MATCH($S$1,'Base de dados IHS'!$A$1:$V$1,0))</f>
        <v>2.4715767685544541E-4</v>
      </c>
      <c r="T31" t="str">
        <f>IF(Q31&lt;'Cenario A ranking setor PIB'!$G$72,"N","Y")</f>
        <v>N</v>
      </c>
    </row>
    <row r="32" spans="1:20" hidden="1" x14ac:dyDescent="0.45">
      <c r="A32" s="293" t="s">
        <v>144</v>
      </c>
      <c r="B32" s="297" t="s">
        <v>6</v>
      </c>
      <c r="C32" s="297" t="s">
        <v>958</v>
      </c>
      <c r="D32" s="311">
        <v>1613.5425966099999</v>
      </c>
      <c r="E32" s="311">
        <v>2467.5757849400002</v>
      </c>
      <c r="F32" s="302">
        <f t="shared" si="0"/>
        <v>0.52929076066804548</v>
      </c>
      <c r="G32" s="311">
        <v>1795.18948535</v>
      </c>
      <c r="H32" s="311">
        <v>2467.5757849400002</v>
      </c>
      <c r="I32" s="302">
        <f t="shared" si="1"/>
        <v>0.37454892927857575</v>
      </c>
      <c r="J32" s="311">
        <v>3007.6357877999999</v>
      </c>
      <c r="K32" s="311">
        <v>3610.52779371</v>
      </c>
      <c r="L32" s="311">
        <v>4103.2265668700002</v>
      </c>
      <c r="M32" s="312">
        <v>5345.4857583499997</v>
      </c>
      <c r="N32" t="str">
        <f t="shared" si="2"/>
        <v>MalaysiaManufacture of machinery and equipment n.e.c. (C28)</v>
      </c>
      <c r="O32" s="11">
        <f>INDEX('Base de dados IHS'!$A$1:$V$676,MATCH($N32,'Base de dados IHS'!$C$1:$C$676,0),MATCH($O$1,'Base de dados IHS'!$A$1:$V$1,0))</f>
        <v>301830.41438700003</v>
      </c>
      <c r="P32" s="11">
        <f>INDEX('Base de dados IHS'!$A$1:$V$676,MATCH($N32,'Base de dados IHS'!$C$1:$C$676,0),MATCH($P$1,'Base de dados IHS'!$A$1:$V$1,0))</f>
        <v>356559.39228144003</v>
      </c>
      <c r="Q32" s="131">
        <f>INDEX('Base de dados IHS'!$A$1:$V$676,MATCH($N32,'Base de dados IHS'!$C$1:$C$676,0),MATCH($Q$1,'Base de dados IHS'!$A$1:$V$1,0))</f>
        <v>5.9476759126343356E-3</v>
      </c>
      <c r="R32" s="131">
        <f>INDEX('Base de dados IHS'!$A$1:$V$676,MATCH($N32,'Base de dados IHS'!$C$1:$C$676,0),MATCH($R$1,'Base de dados IHS'!$A$1:$V$1,0))</f>
        <v>6.9205182596684747E-3</v>
      </c>
      <c r="S32" s="131">
        <f>INDEX('Base de dados IHS'!$A$1:$V$676,MATCH($N32,'Base de dados IHS'!$C$1:$C$676,0),MATCH($S$1,'Base de dados IHS'!$A$1:$V$1,0))</f>
        <v>9.7284234703413908E-4</v>
      </c>
      <c r="T32" t="str">
        <f>IF(Q32&lt;'Cenario A ranking setor PIB'!$G$72,"N","Y")</f>
        <v>N</v>
      </c>
    </row>
    <row r="33" spans="1:20" hidden="1" x14ac:dyDescent="0.45">
      <c r="A33" s="293" t="s">
        <v>153</v>
      </c>
      <c r="B33" s="297" t="s">
        <v>6</v>
      </c>
      <c r="C33" s="297" t="s">
        <v>958</v>
      </c>
      <c r="D33" s="311">
        <v>354.51346797999997</v>
      </c>
      <c r="E33" s="311">
        <v>594.46200870999996</v>
      </c>
      <c r="F33" s="302">
        <f t="shared" si="0"/>
        <v>0.6768389988036696</v>
      </c>
      <c r="G33" s="311">
        <v>584.95040022000001</v>
      </c>
      <c r="H33" s="311">
        <v>594.46200870999996</v>
      </c>
      <c r="I33" s="302">
        <f t="shared" si="1"/>
        <v>1.6260538477147257E-2</v>
      </c>
      <c r="J33" s="311">
        <v>669.24812630999998</v>
      </c>
      <c r="K33" s="311">
        <v>710.11068451000006</v>
      </c>
      <c r="L33" s="311">
        <v>722.64956959999995</v>
      </c>
      <c r="M33" s="312">
        <v>754.80395983999995</v>
      </c>
      <c r="N33" t="str">
        <f t="shared" si="2"/>
        <v>OmanManufacture of machinery and equipment n.e.c. (C28)</v>
      </c>
      <c r="O33" s="11">
        <f>INDEX('Base de dados IHS'!$A$1:$V$676,MATCH($N33,'Base de dados IHS'!$C$1:$C$676,0),MATCH($O$1,'Base de dados IHS'!$A$1:$V$1,0))</f>
        <v>83456.391863790006</v>
      </c>
      <c r="P33" s="11">
        <f>INDEX('Base de dados IHS'!$A$1:$V$676,MATCH($N33,'Base de dados IHS'!$C$1:$C$676,0),MATCH($P$1,'Base de dados IHS'!$A$1:$V$1,0))</f>
        <v>87715.792114070005</v>
      </c>
      <c r="Q33" s="131">
        <f>INDEX('Base de dados IHS'!$A$1:$V$676,MATCH($N33,'Base de dados IHS'!$C$1:$C$676,0),MATCH($Q$1,'Base de dados IHS'!$A$1:$V$1,0))</f>
        <v>7.0090545152575404E-3</v>
      </c>
      <c r="R33" s="131">
        <f>INDEX('Base de dados IHS'!$A$1:$V$676,MATCH($N33,'Base de dados IHS'!$C$1:$C$676,0),MATCH($R$1,'Base de dados IHS'!$A$1:$V$1,0))</f>
        <v>6.7771377808106869E-3</v>
      </c>
      <c r="S33" s="131">
        <f>INDEX('Base de dados IHS'!$A$1:$V$676,MATCH($N33,'Base de dados IHS'!$C$1:$C$676,0),MATCH($S$1,'Base de dados IHS'!$A$1:$V$1,0))</f>
        <v>-2.3191673444685357E-4</v>
      </c>
      <c r="T33" t="str">
        <f>IF(Q33&lt;'Cenario A ranking setor PIB'!$G$72,"N","Y")</f>
        <v>N</v>
      </c>
    </row>
    <row r="34" spans="1:20" hidden="1" x14ac:dyDescent="0.45">
      <c r="A34" s="293" t="s">
        <v>77</v>
      </c>
      <c r="B34" s="297" t="s">
        <v>6</v>
      </c>
      <c r="C34" s="297" t="s">
        <v>958</v>
      </c>
      <c r="D34" s="311">
        <v>8137.1199952099996</v>
      </c>
      <c r="E34" s="311">
        <v>8759.1513755100004</v>
      </c>
      <c r="F34" s="302">
        <f t="shared" ref="F34:F65" si="3">H34/D34-1</f>
        <v>7.6443677943322186E-2</v>
      </c>
      <c r="G34" s="311">
        <v>7665.7771330899996</v>
      </c>
      <c r="H34" s="311">
        <v>8759.1513755100004</v>
      </c>
      <c r="I34" s="302">
        <f t="shared" ref="I34:I65" si="4">H34/G34-1</f>
        <v>0.14263058049266197</v>
      </c>
      <c r="J34" s="311">
        <v>9657.2354669199995</v>
      </c>
      <c r="K34" s="311">
        <v>10532.239678149999</v>
      </c>
      <c r="L34" s="311">
        <v>11110.18011042</v>
      </c>
      <c r="M34" s="312">
        <v>12412.621877129999</v>
      </c>
      <c r="N34" t="str">
        <f t="shared" ref="N34:N65" si="5">A34&amp;B34</f>
        <v>SpainManufacture of machinery and equipment n.e.c. (C28)</v>
      </c>
      <c r="O34" s="11">
        <f>INDEX('Base de dados IHS'!$A$1:$V$676,MATCH($N34,'Base de dados IHS'!$C$1:$C$676,0),MATCH($O$1,'Base de dados IHS'!$A$1:$V$1,0))</f>
        <v>1259732.1048611</v>
      </c>
      <c r="P34" s="11">
        <f>INDEX('Base de dados IHS'!$A$1:$V$676,MATCH($N34,'Base de dados IHS'!$C$1:$C$676,0),MATCH($P$1,'Base de dados IHS'!$A$1:$V$1,0))</f>
        <v>1317888.2673469</v>
      </c>
      <c r="Q34" s="131">
        <f>INDEX('Base de dados IHS'!$A$1:$V$676,MATCH($N34,'Base de dados IHS'!$C$1:$C$676,0),MATCH($Q$1,'Base de dados IHS'!$A$1:$V$1,0))</f>
        <v>6.0852439209170116E-3</v>
      </c>
      <c r="R34" s="131">
        <f>INDEX('Base de dados IHS'!$A$1:$V$676,MATCH($N34,'Base de dados IHS'!$C$1:$C$676,0),MATCH($R$1,'Base de dados IHS'!$A$1:$V$1,0))</f>
        <v>6.6463535585937353E-3</v>
      </c>
      <c r="S34" s="131">
        <f>INDEX('Base de dados IHS'!$A$1:$V$676,MATCH($N34,'Base de dados IHS'!$C$1:$C$676,0),MATCH($S$1,'Base de dados IHS'!$A$1:$V$1,0))</f>
        <v>5.6110963767672366E-4</v>
      </c>
      <c r="T34" t="str">
        <f>IF(Q34&lt;'Cenario A ranking setor PIB'!$G$72,"N","Y")</f>
        <v>N</v>
      </c>
    </row>
    <row r="35" spans="1:20" x14ac:dyDescent="0.45">
      <c r="A35" s="293" t="s">
        <v>113</v>
      </c>
      <c r="B35" s="297" t="s">
        <v>6</v>
      </c>
      <c r="C35" s="297" t="s">
        <v>958</v>
      </c>
      <c r="D35" s="311">
        <v>3020.1444357300002</v>
      </c>
      <c r="E35" s="311">
        <v>2171.68677411</v>
      </c>
      <c r="F35" s="302">
        <f t="shared" si="3"/>
        <v>-0.28093280956442712</v>
      </c>
      <c r="G35" s="311">
        <v>3430.4344908600001</v>
      </c>
      <c r="H35" s="311">
        <v>2171.68677411</v>
      </c>
      <c r="I35" s="302">
        <f t="shared" si="4"/>
        <v>-0.36693536055091247</v>
      </c>
      <c r="J35" s="311">
        <v>2795.6609265799998</v>
      </c>
      <c r="K35" s="311">
        <v>3206.0708602899999</v>
      </c>
      <c r="L35" s="311">
        <v>3401.5467411099999</v>
      </c>
      <c r="M35" s="312">
        <v>3881.82257213</v>
      </c>
      <c r="N35" t="str">
        <f t="shared" si="5"/>
        <v>HungaryManufacture of machinery and equipment n.e.c. (C28)</v>
      </c>
      <c r="O35" s="11">
        <f>INDEX('Base de dados IHS'!$A$1:$V$676,MATCH($N35,'Base de dados IHS'!$C$1:$C$676,0),MATCH($O$1,'Base de dados IHS'!$A$1:$V$1,0))</f>
        <v>139098.07965294999</v>
      </c>
      <c r="P35" s="11">
        <f>INDEX('Base de dados IHS'!$A$1:$V$676,MATCH($N35,'Base de dados IHS'!$C$1:$C$676,0),MATCH($P$1,'Base de dados IHS'!$A$1:$V$1,0))</f>
        <v>167320.49519441</v>
      </c>
      <c r="Q35" s="131">
        <f>INDEX('Base de dados IHS'!$A$1:$V$676,MATCH($N35,'Base de dados IHS'!$C$1:$C$676,0),MATCH($Q$1,'Base de dados IHS'!$A$1:$V$1,0))</f>
        <v>2.466198310874558E-2</v>
      </c>
      <c r="R35" s="131">
        <f>INDEX('Base de dados IHS'!$A$1:$V$676,MATCH($N35,'Base de dados IHS'!$C$1:$C$676,0),MATCH($R$1,'Base de dados IHS'!$A$1:$V$1,0))</f>
        <v>1.2979203603161184E-2</v>
      </c>
      <c r="S35" s="131">
        <f>INDEX('Base de dados IHS'!$A$1:$V$676,MATCH($N35,'Base de dados IHS'!$C$1:$C$676,0),MATCH($S$1,'Base de dados IHS'!$A$1:$V$1,0))</f>
        <v>-1.1682779505584396E-2</v>
      </c>
      <c r="T35" t="str">
        <f>IF(Q35&lt;'Cenario A ranking setor PIB'!$G$72,"N","Y")</f>
        <v>Y</v>
      </c>
    </row>
    <row r="36" spans="1:20" hidden="1" x14ac:dyDescent="0.45">
      <c r="A36" s="293" t="s">
        <v>159</v>
      </c>
      <c r="B36" s="297" t="s">
        <v>6</v>
      </c>
      <c r="C36" s="297" t="s">
        <v>958</v>
      </c>
      <c r="D36" s="311">
        <v>558.64066098000001</v>
      </c>
      <c r="E36" s="311">
        <v>834.05460550999999</v>
      </c>
      <c r="F36" s="302">
        <f t="shared" si="3"/>
        <v>0.49300733685738662</v>
      </c>
      <c r="G36" s="311">
        <v>671.60356657</v>
      </c>
      <c r="H36" s="311">
        <v>834.05460550999999</v>
      </c>
      <c r="I36" s="302">
        <f t="shared" si="4"/>
        <v>0.24188531304213678</v>
      </c>
      <c r="J36" s="311">
        <v>1044.5399247600001</v>
      </c>
      <c r="K36" s="311">
        <v>1137.7609128300001</v>
      </c>
      <c r="L36" s="311">
        <v>1174.9739176099999</v>
      </c>
      <c r="M36" s="312">
        <v>1271.6611659099999</v>
      </c>
      <c r="N36" t="str">
        <f t="shared" si="5"/>
        <v>KuwaitManufacture of machinery and equipment n.e.c. (C28)</v>
      </c>
      <c r="O36" s="11">
        <f>INDEX('Base de dados IHS'!$A$1:$V$676,MATCH($N36,'Base de dados IHS'!$C$1:$C$676,0),MATCH($O$1,'Base de dados IHS'!$A$1:$V$1,0))</f>
        <v>136318.13330372999</v>
      </c>
      <c r="P36" s="11">
        <f>INDEX('Base de dados IHS'!$A$1:$V$676,MATCH($N36,'Base de dados IHS'!$C$1:$C$676,0),MATCH($P$1,'Base de dados IHS'!$A$1:$V$1,0))</f>
        <v>128320.86664452001</v>
      </c>
      <c r="Q36" s="131">
        <f>INDEX('Base de dados IHS'!$A$1:$V$676,MATCH($N36,'Base de dados IHS'!$C$1:$C$676,0),MATCH($Q$1,'Base de dados IHS'!$A$1:$V$1,0))</f>
        <v>4.9267368199181708E-3</v>
      </c>
      <c r="R36" s="131">
        <f>INDEX('Base de dados IHS'!$A$1:$V$676,MATCH($N36,'Base de dados IHS'!$C$1:$C$676,0),MATCH($R$1,'Base de dados IHS'!$A$1:$V$1,0))</f>
        <v>6.4997582023860077E-3</v>
      </c>
      <c r="S36" s="131">
        <f>INDEX('Base de dados IHS'!$A$1:$V$676,MATCH($N36,'Base de dados IHS'!$C$1:$C$676,0),MATCH($S$1,'Base de dados IHS'!$A$1:$V$1,0))</f>
        <v>1.5730213824678369E-3</v>
      </c>
      <c r="T36" t="str">
        <f>IF(Q36&lt;'Cenario A ranking setor PIB'!$G$72,"N","Y")</f>
        <v>N</v>
      </c>
    </row>
    <row r="37" spans="1:20" hidden="1" x14ac:dyDescent="0.45">
      <c r="A37" s="293" t="s">
        <v>162</v>
      </c>
      <c r="B37" s="297" t="s">
        <v>6</v>
      </c>
      <c r="C37" s="297" t="s">
        <v>958</v>
      </c>
      <c r="D37" s="311">
        <v>791.15838649</v>
      </c>
      <c r="E37" s="311">
        <v>1313.6098025399999</v>
      </c>
      <c r="F37" s="302">
        <f t="shared" si="3"/>
        <v>0.66036260876646047</v>
      </c>
      <c r="G37" s="311">
        <v>1050.1240797800001</v>
      </c>
      <c r="H37" s="311">
        <v>1313.6098025399999</v>
      </c>
      <c r="I37" s="302">
        <f t="shared" si="4"/>
        <v>0.25090913334279485</v>
      </c>
      <c r="J37" s="311">
        <v>1672.7063888600001</v>
      </c>
      <c r="K37" s="311">
        <v>1858.72455298</v>
      </c>
      <c r="L37" s="311">
        <v>1976.40542123</v>
      </c>
      <c r="M37" s="312">
        <v>2211.6711936699999</v>
      </c>
      <c r="N37" t="str">
        <f t="shared" si="5"/>
        <v>RomaniaManufacture of machinery and equipment n.e.c. (C28)</v>
      </c>
      <c r="O37" s="11">
        <f>INDEX('Base de dados IHS'!$A$1:$V$676,MATCH($N37,'Base de dados IHS'!$C$1:$C$676,0),MATCH($O$1,'Base de dados IHS'!$A$1:$V$1,0))</f>
        <v>204518.17392167001</v>
      </c>
      <c r="P37" s="11">
        <f>INDEX('Base de dados IHS'!$A$1:$V$676,MATCH($N37,'Base de dados IHS'!$C$1:$C$676,0),MATCH($P$1,'Base de dados IHS'!$A$1:$V$1,0))</f>
        <v>254974.25152873</v>
      </c>
      <c r="Q37" s="131">
        <f>INDEX('Base de dados IHS'!$A$1:$V$676,MATCH($N37,'Base de dados IHS'!$C$1:$C$676,0),MATCH($Q$1,'Base de dados IHS'!$A$1:$V$1,0))</f>
        <v>5.1346247604488939E-3</v>
      </c>
      <c r="R37" s="131">
        <f>INDEX('Base de dados IHS'!$A$1:$V$676,MATCH($N37,'Base de dados IHS'!$C$1:$C$676,0),MATCH($R$1,'Base de dados IHS'!$A$1:$V$1,0))</f>
        <v>5.1519312035003071E-3</v>
      </c>
      <c r="S37" s="131">
        <f>INDEX('Base de dados IHS'!$A$1:$V$676,MATCH($N37,'Base de dados IHS'!$C$1:$C$676,0),MATCH($S$1,'Base de dados IHS'!$A$1:$V$1,0))</f>
        <v>1.7306443051413184E-5</v>
      </c>
      <c r="T37" t="str">
        <f>IF(Q37&lt;'Cenario A ranking setor PIB'!$G$72,"N","Y")</f>
        <v>N</v>
      </c>
    </row>
    <row r="38" spans="1:20" hidden="1" x14ac:dyDescent="0.45">
      <c r="A38" s="293" t="s">
        <v>97</v>
      </c>
      <c r="B38" s="297" t="s">
        <v>6</v>
      </c>
      <c r="C38" s="297" t="s">
        <v>958</v>
      </c>
      <c r="D38" s="311">
        <v>14078.9039154</v>
      </c>
      <c r="E38" s="311">
        <v>13612.26106458</v>
      </c>
      <c r="F38" s="302">
        <f t="shared" si="3"/>
        <v>-3.3144828150263206E-2</v>
      </c>
      <c r="G38" s="311">
        <v>14544.322409029999</v>
      </c>
      <c r="H38" s="311">
        <v>13612.26106458</v>
      </c>
      <c r="I38" s="302">
        <f t="shared" si="4"/>
        <v>-6.4084205385279369E-2</v>
      </c>
      <c r="J38" s="311">
        <v>14732.78154842</v>
      </c>
      <c r="K38" s="311">
        <v>15364.78392588</v>
      </c>
      <c r="L38" s="311">
        <v>15897.087448169999</v>
      </c>
      <c r="M38" s="312">
        <v>17243.569703839999</v>
      </c>
      <c r="N38" t="str">
        <f t="shared" si="5"/>
        <v>FranceManufacture of machinery and equipment n.e.c. (C28)</v>
      </c>
      <c r="O38" s="11">
        <f>INDEX('Base de dados IHS'!$A$1:$V$676,MATCH($N38,'Base de dados IHS'!$C$1:$C$676,0),MATCH($O$1,'Base de dados IHS'!$A$1:$V$1,0))</f>
        <v>2544956.5086996001</v>
      </c>
      <c r="P38" s="11">
        <f>INDEX('Base de dados IHS'!$A$1:$V$676,MATCH($N38,'Base de dados IHS'!$C$1:$C$676,0),MATCH($P$1,'Base de dados IHS'!$A$1:$V$1,0))</f>
        <v>2682424.2983101001</v>
      </c>
      <c r="Q38" s="131">
        <f>INDEX('Base de dados IHS'!$A$1:$V$676,MATCH($N38,'Base de dados IHS'!$C$1:$C$676,0),MATCH($Q$1,'Base de dados IHS'!$A$1:$V$1,0))</f>
        <v>5.7149591198561315E-3</v>
      </c>
      <c r="R38" s="131">
        <f>INDEX('Base de dados IHS'!$A$1:$V$676,MATCH($N38,'Base de dados IHS'!$C$1:$C$676,0),MATCH($R$1,'Base de dados IHS'!$A$1:$V$1,0))</f>
        <v>5.0746114524669291E-3</v>
      </c>
      <c r="S38" s="131">
        <f>INDEX('Base de dados IHS'!$A$1:$V$676,MATCH($N38,'Base de dados IHS'!$C$1:$C$676,0),MATCH($S$1,'Base de dados IHS'!$A$1:$V$1,0))</f>
        <v>-6.4034766738920237E-4</v>
      </c>
      <c r="T38" t="str">
        <f>IF(Q38&lt;'Cenario A ranking setor PIB'!$G$72,"N","Y")</f>
        <v>N</v>
      </c>
    </row>
    <row r="39" spans="1:20" hidden="1" x14ac:dyDescent="0.45">
      <c r="A39" s="293" t="s">
        <v>123</v>
      </c>
      <c r="B39" s="297" t="s">
        <v>6</v>
      </c>
      <c r="C39" s="297" t="s">
        <v>958</v>
      </c>
      <c r="D39" s="311">
        <v>1608.27044174</v>
      </c>
      <c r="E39" s="311">
        <v>2159.02656974</v>
      </c>
      <c r="F39" s="302">
        <f t="shared" si="3"/>
        <v>0.34245243443268958</v>
      </c>
      <c r="G39" s="311">
        <v>1859.1216801800001</v>
      </c>
      <c r="H39" s="311">
        <v>2159.02656974</v>
      </c>
      <c r="I39" s="302">
        <f t="shared" si="4"/>
        <v>0.16131536346290321</v>
      </c>
      <c r="J39" s="311">
        <v>2524.1985243700001</v>
      </c>
      <c r="K39" s="311">
        <v>2765.04061159</v>
      </c>
      <c r="L39" s="311">
        <v>2963.8124777500002</v>
      </c>
      <c r="M39" s="312">
        <v>3493.6783112399999</v>
      </c>
      <c r="N39" t="str">
        <f t="shared" si="5"/>
        <v>IsraelManufacture of machinery and equipment n.e.c. (C28)</v>
      </c>
      <c r="O39" s="11">
        <f>INDEX('Base de dados IHS'!$A$1:$V$676,MATCH($N39,'Base de dados IHS'!$C$1:$C$676,0),MATCH($O$1,'Base de dados IHS'!$A$1:$V$1,0))</f>
        <v>339252.33917334001</v>
      </c>
      <c r="P39" s="11">
        <f>INDEX('Base de dados IHS'!$A$1:$V$676,MATCH($N39,'Base de dados IHS'!$C$1:$C$676,0),MATCH($P$1,'Base de dados IHS'!$A$1:$V$1,0))</f>
        <v>430314.68651226</v>
      </c>
      <c r="Q39" s="131">
        <f>INDEX('Base de dados IHS'!$A$1:$V$676,MATCH($N39,'Base de dados IHS'!$C$1:$C$676,0),MATCH($Q$1,'Base de dados IHS'!$A$1:$V$1,0))</f>
        <v>5.4800555972882685E-3</v>
      </c>
      <c r="R39" s="131">
        <f>INDEX('Base de dados IHS'!$A$1:$V$676,MATCH($N39,'Base de dados IHS'!$C$1:$C$676,0),MATCH($R$1,'Base de dados IHS'!$A$1:$V$1,0))</f>
        <v>5.0173202017321514E-3</v>
      </c>
      <c r="S39" s="131">
        <f>INDEX('Base de dados IHS'!$A$1:$V$676,MATCH($N39,'Base de dados IHS'!$C$1:$C$676,0),MATCH($S$1,'Base de dados IHS'!$A$1:$V$1,0))</f>
        <v>-4.6273539555611708E-4</v>
      </c>
      <c r="T39" t="str">
        <f>IF(Q39&lt;'Cenario A ranking setor PIB'!$G$72,"N","Y")</f>
        <v>N</v>
      </c>
    </row>
    <row r="40" spans="1:20" hidden="1" x14ac:dyDescent="0.45">
      <c r="A40" s="293" t="s">
        <v>106</v>
      </c>
      <c r="B40" s="297" t="s">
        <v>6</v>
      </c>
      <c r="C40" s="297" t="s">
        <v>958</v>
      </c>
      <c r="D40" s="311">
        <v>6938.7907610100001</v>
      </c>
      <c r="E40" s="311">
        <v>8674.2637440599992</v>
      </c>
      <c r="F40" s="302">
        <f t="shared" si="3"/>
        <v>0.25011173312817792</v>
      </c>
      <c r="G40" s="311">
        <v>6386.6322578099998</v>
      </c>
      <c r="H40" s="311">
        <v>8674.2637440599992</v>
      </c>
      <c r="I40" s="302">
        <f t="shared" si="4"/>
        <v>0.35819057586297243</v>
      </c>
      <c r="J40" s="311">
        <v>8924.5705924899994</v>
      </c>
      <c r="K40" s="311">
        <v>9658.7643036299996</v>
      </c>
      <c r="L40" s="311">
        <v>10204.07542406</v>
      </c>
      <c r="M40" s="312">
        <v>11379.88603457</v>
      </c>
      <c r="N40" t="str">
        <f t="shared" si="5"/>
        <v>RussiaManufacture of machinery and equipment n.e.c. (C28)</v>
      </c>
      <c r="O40" s="11">
        <f>INDEX('Base de dados IHS'!$A$1:$V$676,MATCH($N40,'Base de dados IHS'!$C$1:$C$676,0),MATCH($O$1,'Base de dados IHS'!$A$1:$V$1,0))</f>
        <v>1579786.0768998</v>
      </c>
      <c r="P40" s="11">
        <f>INDEX('Base de dados IHS'!$A$1:$V$676,MATCH($N40,'Base de dados IHS'!$C$1:$C$676,0),MATCH($P$1,'Base de dados IHS'!$A$1:$V$1,0))</f>
        <v>1741025.8573970001</v>
      </c>
      <c r="Q40" s="131">
        <f>INDEX('Base de dados IHS'!$A$1:$V$676,MATCH($N40,'Base de dados IHS'!$C$1:$C$676,0),MATCH($Q$1,'Base de dados IHS'!$A$1:$V$1,0))</f>
        <v>4.0427196765420543E-3</v>
      </c>
      <c r="R40" s="131">
        <f>INDEX('Base de dados IHS'!$A$1:$V$676,MATCH($N40,'Base de dados IHS'!$C$1:$C$676,0),MATCH($R$1,'Base de dados IHS'!$A$1:$V$1,0))</f>
        <v>4.9822716343965456E-3</v>
      </c>
      <c r="S40" s="131">
        <f>INDEX('Base de dados IHS'!$A$1:$V$676,MATCH($N40,'Base de dados IHS'!$C$1:$C$676,0),MATCH($S$1,'Base de dados IHS'!$A$1:$V$1,0))</f>
        <v>9.3955195785449131E-4</v>
      </c>
      <c r="T40" t="str">
        <f>IF(Q40&lt;'Cenario A ranking setor PIB'!$G$72,"N","Y")</f>
        <v>N</v>
      </c>
    </row>
    <row r="41" spans="1:20" hidden="1" x14ac:dyDescent="0.45">
      <c r="A41" s="293" t="s">
        <v>166</v>
      </c>
      <c r="B41" s="297" t="s">
        <v>6</v>
      </c>
      <c r="C41" s="297" t="s">
        <v>958</v>
      </c>
      <c r="D41" s="311">
        <v>85.321122459999998</v>
      </c>
      <c r="E41" s="311">
        <v>127.23210978</v>
      </c>
      <c r="F41" s="302">
        <f t="shared" si="3"/>
        <v>0.49121467359561044</v>
      </c>
      <c r="G41" s="311">
        <v>109.16677952000001</v>
      </c>
      <c r="H41" s="311">
        <v>127.23210978</v>
      </c>
      <c r="I41" s="302">
        <f t="shared" si="4"/>
        <v>0.16548377024065575</v>
      </c>
      <c r="J41" s="311">
        <v>151.43220922</v>
      </c>
      <c r="K41" s="311">
        <v>176.50280108999999</v>
      </c>
      <c r="L41" s="311">
        <v>197.54715512000001</v>
      </c>
      <c r="M41" s="312">
        <v>254.90460776</v>
      </c>
      <c r="N41" t="str">
        <f t="shared" si="5"/>
        <v>HondurasManufacture of machinery and equipment n.e.c. (C28)</v>
      </c>
      <c r="O41" s="11">
        <f>INDEX('Base de dados IHS'!$A$1:$V$676,MATCH($N41,'Base de dados IHS'!$C$1:$C$676,0),MATCH($O$1,'Base de dados IHS'!$A$1:$V$1,0))</f>
        <v>21608.112082880001</v>
      </c>
      <c r="P41" s="11">
        <f>INDEX('Base de dados IHS'!$A$1:$V$676,MATCH($N41,'Base de dados IHS'!$C$1:$C$676,0),MATCH($P$1,'Base de dados IHS'!$A$1:$V$1,0))</f>
        <v>25703.55773198</v>
      </c>
      <c r="Q41" s="131">
        <f>INDEX('Base de dados IHS'!$A$1:$V$676,MATCH($N41,'Base de dados IHS'!$C$1:$C$676,0),MATCH($Q$1,'Base de dados IHS'!$A$1:$V$1,0))</f>
        <v>5.0521201991770622E-3</v>
      </c>
      <c r="R41" s="131">
        <f>INDEX('Base de dados IHS'!$A$1:$V$676,MATCH($N41,'Base de dados IHS'!$C$1:$C$676,0),MATCH($R$1,'Base de dados IHS'!$A$1:$V$1,0))</f>
        <v>4.9499805087954664E-3</v>
      </c>
      <c r="S41" s="131">
        <f>INDEX('Base de dados IHS'!$A$1:$V$676,MATCH($N41,'Base de dados IHS'!$C$1:$C$676,0),MATCH($S$1,'Base de dados IHS'!$A$1:$V$1,0))</f>
        <v>-1.0213969038159586E-4</v>
      </c>
      <c r="T41" t="str">
        <f>IF(Q41&lt;'Cenario A ranking setor PIB'!$G$72,"N","Y")</f>
        <v>N</v>
      </c>
    </row>
    <row r="42" spans="1:20" hidden="1" x14ac:dyDescent="0.45">
      <c r="A42" s="293" t="s">
        <v>161</v>
      </c>
      <c r="B42" s="297" t="s">
        <v>6</v>
      </c>
      <c r="C42" s="297" t="s">
        <v>958</v>
      </c>
      <c r="D42" s="311">
        <v>1012.36101208</v>
      </c>
      <c r="E42" s="311">
        <v>1145.91789223</v>
      </c>
      <c r="F42" s="302">
        <f t="shared" si="3"/>
        <v>0.13192613954541144</v>
      </c>
      <c r="G42" s="311">
        <v>1083.9494040699999</v>
      </c>
      <c r="H42" s="311">
        <v>1145.91789223</v>
      </c>
      <c r="I42" s="302">
        <f t="shared" si="4"/>
        <v>5.716917037577729E-2</v>
      </c>
      <c r="J42" s="311">
        <v>1192.2294978800001</v>
      </c>
      <c r="K42" s="311">
        <v>1275.2235116100001</v>
      </c>
      <c r="L42" s="311">
        <v>1334.88777615</v>
      </c>
      <c r="M42" s="312">
        <v>1475.55612933</v>
      </c>
      <c r="N42" t="str">
        <f t="shared" si="5"/>
        <v>PortugalManufacture of machinery and equipment n.e.c. (C28)</v>
      </c>
      <c r="O42" s="11">
        <f>INDEX('Base de dados IHS'!$A$1:$V$676,MATCH($N42,'Base de dados IHS'!$C$1:$C$676,0),MATCH($O$1,'Base de dados IHS'!$A$1:$V$1,0))</f>
        <v>215192.52938671</v>
      </c>
      <c r="P42" s="11">
        <f>INDEX('Base de dados IHS'!$A$1:$V$676,MATCH($N42,'Base de dados IHS'!$C$1:$C$676,0),MATCH($P$1,'Base de dados IHS'!$A$1:$V$1,0))</f>
        <v>232686.90641277001</v>
      </c>
      <c r="Q42" s="131">
        <f>INDEX('Base de dados IHS'!$A$1:$V$676,MATCH($N42,'Base de dados IHS'!$C$1:$C$676,0),MATCH($Q$1,'Base de dados IHS'!$A$1:$V$1,0))</f>
        <v>5.0371144721390272E-3</v>
      </c>
      <c r="R42" s="131">
        <f>INDEX('Base de dados IHS'!$A$1:$V$676,MATCH($N42,'Base de dados IHS'!$C$1:$C$676,0),MATCH($R$1,'Base de dados IHS'!$A$1:$V$1,0))</f>
        <v>4.9247201309953522E-3</v>
      </c>
      <c r="S42" s="131">
        <f>INDEX('Base de dados IHS'!$A$1:$V$676,MATCH($N42,'Base de dados IHS'!$C$1:$C$676,0),MATCH($S$1,'Base de dados IHS'!$A$1:$V$1,0))</f>
        <v>-1.1239434114367498E-4</v>
      </c>
      <c r="T42" t="str">
        <f>IF(Q42&lt;'Cenario A ranking setor PIB'!$G$72,"N","Y")</f>
        <v>N</v>
      </c>
    </row>
    <row r="43" spans="1:20" hidden="1" x14ac:dyDescent="0.45">
      <c r="A43" s="293" t="s">
        <v>168</v>
      </c>
      <c r="B43" s="297" t="s">
        <v>6</v>
      </c>
      <c r="C43" s="297" t="s">
        <v>958</v>
      </c>
      <c r="D43" s="311">
        <v>191.10794091</v>
      </c>
      <c r="E43" s="311">
        <v>191.81811368000001</v>
      </c>
      <c r="F43" s="302">
        <f t="shared" si="3"/>
        <v>3.7160819514792109E-3</v>
      </c>
      <c r="G43" s="311">
        <v>190.21510201000001</v>
      </c>
      <c r="H43" s="311">
        <v>191.81811368000001</v>
      </c>
      <c r="I43" s="302">
        <f t="shared" si="4"/>
        <v>8.4273627754105629E-3</v>
      </c>
      <c r="J43" s="311">
        <v>206.27005328999999</v>
      </c>
      <c r="K43" s="311">
        <v>222.92492336000001</v>
      </c>
      <c r="L43" s="311">
        <v>236.88057473999999</v>
      </c>
      <c r="M43" s="312">
        <v>272.67990433</v>
      </c>
      <c r="N43" t="str">
        <f t="shared" si="5"/>
        <v>TunisiaManufacture of machinery and equipment n.e.c. (C28)</v>
      </c>
      <c r="O43" s="11">
        <f>INDEX('Base de dados IHS'!$A$1:$V$676,MATCH($N43,'Base de dados IHS'!$C$1:$C$676,0),MATCH($O$1,'Base de dados IHS'!$A$1:$V$1,0))</f>
        <v>38884.65391288</v>
      </c>
      <c r="P43" s="11">
        <f>INDEX('Base de dados IHS'!$A$1:$V$676,MATCH($N43,'Base de dados IHS'!$C$1:$C$676,0),MATCH($P$1,'Base de dados IHS'!$A$1:$V$1,0))</f>
        <v>40072.692608359997</v>
      </c>
      <c r="Q43" s="131">
        <f>INDEX('Base de dados IHS'!$A$1:$V$676,MATCH($N43,'Base de dados IHS'!$C$1:$C$676,0),MATCH($Q$1,'Base de dados IHS'!$A$1:$V$1,0))</f>
        <v>4.8917781918844314E-3</v>
      </c>
      <c r="R43" s="131">
        <f>INDEX('Base de dados IHS'!$A$1:$V$676,MATCH($N43,'Base de dados IHS'!$C$1:$C$676,0),MATCH($R$1,'Base de dados IHS'!$A$1:$V$1,0))</f>
        <v>4.786753801514769E-3</v>
      </c>
      <c r="S43" s="131">
        <f>INDEX('Base de dados IHS'!$A$1:$V$676,MATCH($N43,'Base de dados IHS'!$C$1:$C$676,0),MATCH($S$1,'Base de dados IHS'!$A$1:$V$1,0))</f>
        <v>-1.0502439036966238E-4</v>
      </c>
      <c r="T43" t="str">
        <f>IF(Q43&lt;'Cenario A ranking setor PIB'!$G$72,"N","Y")</f>
        <v>N</v>
      </c>
    </row>
    <row r="44" spans="1:20" hidden="1" x14ac:dyDescent="0.45">
      <c r="A44" s="293" t="s">
        <v>107</v>
      </c>
      <c r="B44" s="297" t="s">
        <v>6</v>
      </c>
      <c r="C44" s="297" t="s">
        <v>958</v>
      </c>
      <c r="D44" s="311">
        <v>884.78386306000004</v>
      </c>
      <c r="E44" s="311">
        <v>996.93087410999999</v>
      </c>
      <c r="F44" s="302">
        <f t="shared" si="3"/>
        <v>0.12675074188417357</v>
      </c>
      <c r="G44" s="311">
        <v>1011.34667796</v>
      </c>
      <c r="H44" s="311">
        <v>996.93087410999999</v>
      </c>
      <c r="I44" s="302">
        <f t="shared" si="4"/>
        <v>-1.4254067536048298E-2</v>
      </c>
      <c r="J44" s="311">
        <v>1261.81027913</v>
      </c>
      <c r="K44" s="311">
        <v>1416.4480020799999</v>
      </c>
      <c r="L44" s="311">
        <v>1498.03285592</v>
      </c>
      <c r="M44" s="312">
        <v>1653.7876851000001</v>
      </c>
      <c r="N44" t="str">
        <f t="shared" si="5"/>
        <v>IranManufacture of machinery and equipment n.e.c. (C28)</v>
      </c>
      <c r="O44" s="11">
        <f>INDEX('Base de dados IHS'!$A$1:$V$676,MATCH($N44,'Base de dados IHS'!$C$1:$C$676,0),MATCH($O$1,'Base de dados IHS'!$A$1:$V$1,0))</f>
        <v>195024.47923529</v>
      </c>
      <c r="P44" s="11">
        <f>INDEX('Base de dados IHS'!$A$1:$V$676,MATCH($N44,'Base de dados IHS'!$C$1:$C$676,0),MATCH($P$1,'Base de dados IHS'!$A$1:$V$1,0))</f>
        <v>224406.94908081999</v>
      </c>
      <c r="Q44" s="131">
        <f>INDEX('Base de dados IHS'!$A$1:$V$676,MATCH($N44,'Base de dados IHS'!$C$1:$C$676,0),MATCH($Q$1,'Base de dados IHS'!$A$1:$V$1,0))</f>
        <v>5.185742230542488E-3</v>
      </c>
      <c r="R44" s="131">
        <f>INDEX('Base de dados IHS'!$A$1:$V$676,MATCH($N44,'Base de dados IHS'!$C$1:$C$676,0),MATCH($R$1,'Base de dados IHS'!$A$1:$V$1,0))</f>
        <v>4.4425133811295484E-3</v>
      </c>
      <c r="S44" s="131">
        <f>INDEX('Base de dados IHS'!$A$1:$V$676,MATCH($N44,'Base de dados IHS'!$C$1:$C$676,0),MATCH($S$1,'Base de dados IHS'!$A$1:$V$1,0))</f>
        <v>-7.4322884941293958E-4</v>
      </c>
      <c r="T44" t="str">
        <f>IF(Q44&lt;'Cenario A ranking setor PIB'!$G$72,"N","Y")</f>
        <v>N</v>
      </c>
    </row>
    <row r="45" spans="1:20" hidden="1" x14ac:dyDescent="0.45">
      <c r="A45" s="293" t="s">
        <v>151</v>
      </c>
      <c r="B45" s="297" t="s">
        <v>6</v>
      </c>
      <c r="C45" s="297" t="s">
        <v>958</v>
      </c>
      <c r="D45" s="311">
        <v>2380.8275462000001</v>
      </c>
      <c r="E45" s="311">
        <v>1762.5963697899999</v>
      </c>
      <c r="F45" s="302">
        <f t="shared" si="3"/>
        <v>-0.25967070878222531</v>
      </c>
      <c r="G45" s="311">
        <v>2753.2523310299998</v>
      </c>
      <c r="H45" s="311">
        <v>1762.5963697899999</v>
      </c>
      <c r="I45" s="302">
        <f t="shared" si="4"/>
        <v>-0.35981299282851875</v>
      </c>
      <c r="J45" s="311">
        <v>1928.26173507</v>
      </c>
      <c r="K45" s="311">
        <v>2027.5891966700001</v>
      </c>
      <c r="L45" s="311">
        <v>2105.7421730299998</v>
      </c>
      <c r="M45" s="312">
        <v>2302.5345039600002</v>
      </c>
      <c r="N45" t="str">
        <f t="shared" si="5"/>
        <v>NorwayManufacture of machinery and equipment n.e.c. (C28)</v>
      </c>
      <c r="O45" s="11">
        <f>INDEX('Base de dados IHS'!$A$1:$V$676,MATCH($N45,'Base de dados IHS'!$C$1:$C$676,0),MATCH($O$1,'Base de dados IHS'!$A$1:$V$1,0))</f>
        <v>386512.35690163</v>
      </c>
      <c r="P45" s="11">
        <f>INDEX('Base de dados IHS'!$A$1:$V$676,MATCH($N45,'Base de dados IHS'!$C$1:$C$676,0),MATCH($P$1,'Base de dados IHS'!$A$1:$V$1,0))</f>
        <v>418559.21595058002</v>
      </c>
      <c r="Q45" s="131">
        <f>INDEX('Base de dados IHS'!$A$1:$V$676,MATCH($N45,'Base de dados IHS'!$C$1:$C$676,0),MATCH($Q$1,'Base de dados IHS'!$A$1:$V$1,0))</f>
        <v>7.1233229206452541E-3</v>
      </c>
      <c r="R45" s="131">
        <f>INDEX('Base de dados IHS'!$A$1:$V$676,MATCH($N45,'Base de dados IHS'!$C$1:$C$676,0),MATCH($R$1,'Base de dados IHS'!$A$1:$V$1,0))</f>
        <v>4.2111039552360794E-3</v>
      </c>
      <c r="S45" s="131">
        <f>INDEX('Base de dados IHS'!$A$1:$V$676,MATCH($N45,'Base de dados IHS'!$C$1:$C$676,0),MATCH($S$1,'Base de dados IHS'!$A$1:$V$1,0))</f>
        <v>-2.9122189654091747E-3</v>
      </c>
      <c r="T45" t="str">
        <f>IF(Q45&lt;'Cenario A ranking setor PIB'!$G$72,"N","Y")</f>
        <v>N</v>
      </c>
    </row>
    <row r="46" spans="1:20" hidden="1" x14ac:dyDescent="0.45">
      <c r="A46" s="293" t="s">
        <v>99</v>
      </c>
      <c r="B46" s="297" t="s">
        <v>6</v>
      </c>
      <c r="C46" s="297" t="s">
        <v>958</v>
      </c>
      <c r="D46" s="311">
        <v>3878.1646043699998</v>
      </c>
      <c r="E46" s="311">
        <v>4762.6957695000001</v>
      </c>
      <c r="F46" s="302">
        <f t="shared" si="3"/>
        <v>0.22807984068888976</v>
      </c>
      <c r="G46" s="311">
        <v>4486.3285236900001</v>
      </c>
      <c r="H46" s="311">
        <v>4762.6957695000001</v>
      </c>
      <c r="I46" s="302">
        <f t="shared" si="4"/>
        <v>6.1602097205018858E-2</v>
      </c>
      <c r="J46" s="311">
        <v>7038.1448577900001</v>
      </c>
      <c r="K46" s="311">
        <v>8831.0029673499994</v>
      </c>
      <c r="L46" s="311">
        <v>10329.68263438</v>
      </c>
      <c r="M46" s="312">
        <v>14469.259723519999</v>
      </c>
      <c r="N46" t="str">
        <f t="shared" si="5"/>
        <v>IndonesiaManufacture of machinery and equipment n.e.c. (C28)</v>
      </c>
      <c r="O46" s="11">
        <f>INDEX('Base de dados IHS'!$A$1:$V$676,MATCH($N46,'Base de dados IHS'!$C$1:$C$676,0),MATCH($O$1,'Base de dados IHS'!$A$1:$V$1,0))</f>
        <v>917924.88667253999</v>
      </c>
      <c r="P46" s="11">
        <f>INDEX('Base de dados IHS'!$A$1:$V$676,MATCH($N46,'Base de dados IHS'!$C$1:$C$676,0),MATCH($P$1,'Base de dados IHS'!$A$1:$V$1,0))</f>
        <v>1136354.4627425</v>
      </c>
      <c r="Q46" s="131">
        <f>INDEX('Base de dados IHS'!$A$1:$V$676,MATCH($N46,'Base de dados IHS'!$C$1:$C$676,0),MATCH($Q$1,'Base de dados IHS'!$A$1:$V$1,0))</f>
        <v>4.887468014897008E-3</v>
      </c>
      <c r="R46" s="131">
        <f>INDEX('Base de dados IHS'!$A$1:$V$676,MATCH($N46,'Base de dados IHS'!$C$1:$C$676,0),MATCH($R$1,'Base de dados IHS'!$A$1:$V$1,0))</f>
        <v>4.1912061118725375E-3</v>
      </c>
      <c r="S46" s="131">
        <f>INDEX('Base de dados IHS'!$A$1:$V$676,MATCH($N46,'Base de dados IHS'!$C$1:$C$676,0),MATCH($S$1,'Base de dados IHS'!$A$1:$V$1,0))</f>
        <v>-6.9626190302447041E-4</v>
      </c>
      <c r="T46" t="str">
        <f>IF(Q46&lt;'Cenario A ranking setor PIB'!$G$72,"N","Y")</f>
        <v>N</v>
      </c>
    </row>
    <row r="47" spans="1:20" hidden="1" x14ac:dyDescent="0.45">
      <c r="A47" s="293" t="s">
        <v>70</v>
      </c>
      <c r="B47" s="297" t="s">
        <v>6</v>
      </c>
      <c r="C47" s="297" t="s">
        <v>958</v>
      </c>
      <c r="D47" s="311">
        <v>10216.59289428</v>
      </c>
      <c r="E47" s="311">
        <v>12260.59390403</v>
      </c>
      <c r="F47" s="302">
        <f t="shared" si="3"/>
        <v>0.20006679632839064</v>
      </c>
      <c r="G47" s="311">
        <v>10772.82026316</v>
      </c>
      <c r="H47" s="311">
        <v>12260.59390403</v>
      </c>
      <c r="I47" s="302">
        <f t="shared" si="4"/>
        <v>0.13810437791835861</v>
      </c>
      <c r="J47" s="311">
        <v>16589.549451489998</v>
      </c>
      <c r="K47" s="311">
        <v>20636.435257730001</v>
      </c>
      <c r="L47" s="311">
        <v>23795.034128589999</v>
      </c>
      <c r="M47" s="312">
        <v>32054.42767565</v>
      </c>
      <c r="N47" t="str">
        <f t="shared" si="5"/>
        <v>IndiaManufacture of machinery and equipment n.e.c. (C28)</v>
      </c>
      <c r="O47" s="11">
        <f>INDEX('Base de dados IHS'!$A$1:$V$676,MATCH($N47,'Base de dados IHS'!$C$1:$C$676,0),MATCH($O$1,'Base de dados IHS'!$A$1:$V$1,0))</f>
        <v>2233583.9807687998</v>
      </c>
      <c r="P47" s="11">
        <f>INDEX('Base de dados IHS'!$A$1:$V$676,MATCH($N47,'Base de dados IHS'!$C$1:$C$676,0),MATCH($P$1,'Base de dados IHS'!$A$1:$V$1,0))</f>
        <v>2928405.219999</v>
      </c>
      <c r="Q47" s="131">
        <f>INDEX('Base de dados IHS'!$A$1:$V$676,MATCH($N47,'Base de dados IHS'!$C$1:$C$676,0),MATCH($Q$1,'Base de dados IHS'!$A$1:$V$1,0))</f>
        <v>4.8231095655745142E-3</v>
      </c>
      <c r="R47" s="131">
        <f>INDEX('Base de dados IHS'!$A$1:$V$676,MATCH($N47,'Base de dados IHS'!$C$1:$C$676,0),MATCH($R$1,'Base de dados IHS'!$A$1:$V$1,0))</f>
        <v>4.1867818771454679E-3</v>
      </c>
      <c r="S47" s="131">
        <f>INDEX('Base de dados IHS'!$A$1:$V$676,MATCH($N47,'Base de dados IHS'!$C$1:$C$676,0),MATCH($S$1,'Base de dados IHS'!$A$1:$V$1,0))</f>
        <v>-6.3632768842904631E-4</v>
      </c>
      <c r="T47" t="str">
        <f>IF(Q47&lt;'Cenario A ranking setor PIB'!$G$72,"N","Y")</f>
        <v>N</v>
      </c>
    </row>
    <row r="48" spans="1:20" hidden="1" x14ac:dyDescent="0.45">
      <c r="A48" s="293" t="s">
        <v>145</v>
      </c>
      <c r="B48" s="297" t="s">
        <v>6</v>
      </c>
      <c r="C48" s="297" t="s">
        <v>958</v>
      </c>
      <c r="D48" s="311">
        <v>1668.58078301</v>
      </c>
      <c r="E48" s="311">
        <v>1596.39490877</v>
      </c>
      <c r="F48" s="302">
        <f t="shared" si="3"/>
        <v>-4.3261839627435905E-2</v>
      </c>
      <c r="G48" s="311">
        <v>1585.99048808</v>
      </c>
      <c r="H48" s="311">
        <v>1596.39490877</v>
      </c>
      <c r="I48" s="302">
        <f t="shared" si="4"/>
        <v>6.5602037138290381E-3</v>
      </c>
      <c r="J48" s="311">
        <v>1713.8347476399999</v>
      </c>
      <c r="K48" s="311">
        <v>1832.84666341</v>
      </c>
      <c r="L48" s="311">
        <v>1937.0958507099999</v>
      </c>
      <c r="M48" s="312">
        <v>2180.15315676</v>
      </c>
      <c r="N48" t="str">
        <f t="shared" si="5"/>
        <v>South AfricaManufacture of machinery and equipment n.e.c. (C28)</v>
      </c>
      <c r="O48" s="11">
        <f>INDEX('Base de dados IHS'!$A$1:$V$676,MATCH($N48,'Base de dados IHS'!$C$1:$C$676,0),MATCH($O$1,'Base de dados IHS'!$A$1:$V$1,0))</f>
        <v>375376.48654821003</v>
      </c>
      <c r="P48" s="11">
        <f>INDEX('Base de dados IHS'!$A$1:$V$676,MATCH($N48,'Base de dados IHS'!$C$1:$C$676,0),MATCH($P$1,'Base de dados IHS'!$A$1:$V$1,0))</f>
        <v>383209.69906191999</v>
      </c>
      <c r="Q48" s="131">
        <f>INDEX('Base de dados IHS'!$A$1:$V$676,MATCH($N48,'Base de dados IHS'!$C$1:$C$676,0),MATCH($Q$1,'Base de dados IHS'!$A$1:$V$1,0))</f>
        <v>4.2250661533545716E-3</v>
      </c>
      <c r="R48" s="131">
        <f>INDEX('Base de dados IHS'!$A$1:$V$676,MATCH($N48,'Base de dados IHS'!$C$1:$C$676,0),MATCH($R$1,'Base de dados IHS'!$A$1:$V$1,0))</f>
        <v>4.1658520457021377E-3</v>
      </c>
      <c r="S48" s="131">
        <f>INDEX('Base de dados IHS'!$A$1:$V$676,MATCH($N48,'Base de dados IHS'!$C$1:$C$676,0),MATCH($S$1,'Base de dados IHS'!$A$1:$V$1,0))</f>
        <v>-5.9214107652433984E-5</v>
      </c>
      <c r="T48" t="str">
        <f>IF(Q48&lt;'Cenario A ranking setor PIB'!$G$72,"N","Y")</f>
        <v>N</v>
      </c>
    </row>
    <row r="49" spans="1:20" hidden="1" x14ac:dyDescent="0.45">
      <c r="A49" s="293" t="s">
        <v>143</v>
      </c>
      <c r="B49" s="297" t="s">
        <v>6</v>
      </c>
      <c r="C49" s="297" t="s">
        <v>958</v>
      </c>
      <c r="D49" s="311">
        <v>560.39697349000005</v>
      </c>
      <c r="E49" s="311">
        <v>1535.49971312</v>
      </c>
      <c r="F49" s="302">
        <f t="shared" si="3"/>
        <v>1.7400214236656653</v>
      </c>
      <c r="G49" s="311">
        <v>850.50930884000002</v>
      </c>
      <c r="H49" s="311">
        <v>1535.49971312</v>
      </c>
      <c r="I49" s="302">
        <f t="shared" si="4"/>
        <v>0.80538848565249754</v>
      </c>
      <c r="J49" s="311">
        <v>1995.6257787699999</v>
      </c>
      <c r="K49" s="311">
        <v>2268.60272859</v>
      </c>
      <c r="L49" s="311">
        <v>2477.1692387600001</v>
      </c>
      <c r="M49" s="312">
        <v>2992.8363880699999</v>
      </c>
      <c r="N49" t="str">
        <f t="shared" si="5"/>
        <v>United Arab EmiratesManufacture of machinery and equipment n.e.c. (C28)</v>
      </c>
      <c r="O49" s="11">
        <f>INDEX('Base de dados IHS'!$A$1:$V$676,MATCH($N49,'Base de dados IHS'!$C$1:$C$676,0),MATCH($O$1,'Base de dados IHS'!$A$1:$V$1,0))</f>
        <v>383753.13090967003</v>
      </c>
      <c r="P49" s="11">
        <f>INDEX('Base de dados IHS'!$A$1:$V$676,MATCH($N49,'Base de dados IHS'!$C$1:$C$676,0),MATCH($P$1,'Base de dados IHS'!$A$1:$V$1,0))</f>
        <v>414599.77007557999</v>
      </c>
      <c r="Q49" s="131">
        <f>INDEX('Base de dados IHS'!$A$1:$V$676,MATCH($N49,'Base de dados IHS'!$C$1:$C$676,0),MATCH($Q$1,'Base de dados IHS'!$A$1:$V$1,0))</f>
        <v>2.2162928203970735E-3</v>
      </c>
      <c r="R49" s="131">
        <f>INDEX('Base de dados IHS'!$A$1:$V$676,MATCH($N49,'Base de dados IHS'!$C$1:$C$676,0),MATCH($R$1,'Base de dados IHS'!$A$1:$V$1,0))</f>
        <v>3.7035710676831396E-3</v>
      </c>
      <c r="S49" s="131">
        <f>INDEX('Base de dados IHS'!$A$1:$V$676,MATCH($N49,'Base de dados IHS'!$C$1:$C$676,0),MATCH($S$1,'Base de dados IHS'!$A$1:$V$1,0))</f>
        <v>1.4872782472860661E-3</v>
      </c>
      <c r="T49" t="str">
        <f>IF(Q49&lt;'Cenario A ranking setor PIB'!$G$72,"N","Y")</f>
        <v>N</v>
      </c>
    </row>
    <row r="50" spans="1:20" hidden="1" x14ac:dyDescent="0.45">
      <c r="A50" s="293" t="s">
        <v>147</v>
      </c>
      <c r="B50" s="297" t="s">
        <v>6</v>
      </c>
      <c r="C50" s="297" t="s">
        <v>958</v>
      </c>
      <c r="D50" s="311">
        <v>851.28457595999998</v>
      </c>
      <c r="E50" s="311">
        <v>773.84996051999997</v>
      </c>
      <c r="F50" s="302">
        <f t="shared" si="3"/>
        <v>-9.0962079693123088E-2</v>
      </c>
      <c r="G50" s="311">
        <v>789.42091517999995</v>
      </c>
      <c r="H50" s="311">
        <v>773.84996051999997</v>
      </c>
      <c r="I50" s="302">
        <f t="shared" si="4"/>
        <v>-1.9724527638654732E-2</v>
      </c>
      <c r="J50" s="311">
        <v>934.09809292</v>
      </c>
      <c r="K50" s="311">
        <v>1072.3101822000001</v>
      </c>
      <c r="L50" s="311">
        <v>1190.4938762199999</v>
      </c>
      <c r="M50" s="312">
        <v>1533.2692605</v>
      </c>
      <c r="N50" t="str">
        <f t="shared" si="5"/>
        <v>PeruManufacture of machinery and equipment n.e.c. (C28)</v>
      </c>
      <c r="O50" s="11">
        <f>INDEX('Base de dados IHS'!$A$1:$V$676,MATCH($N50,'Base de dados IHS'!$C$1:$C$676,0),MATCH($O$1,'Base de dados IHS'!$A$1:$V$1,0))</f>
        <v>205342.67167914001</v>
      </c>
      <c r="P50" s="11">
        <f>INDEX('Base de dados IHS'!$A$1:$V$676,MATCH($N50,'Base de dados IHS'!$C$1:$C$676,0),MATCH($P$1,'Base de dados IHS'!$A$1:$V$1,0))</f>
        <v>235110.76142220001</v>
      </c>
      <c r="Q50" s="131">
        <f>INDEX('Base de dados IHS'!$A$1:$V$676,MATCH($N50,'Base de dados IHS'!$C$1:$C$676,0),MATCH($Q$1,'Base de dados IHS'!$A$1:$V$1,0))</f>
        <v>3.8444075394787718E-3</v>
      </c>
      <c r="R50" s="131">
        <f>INDEX('Base de dados IHS'!$A$1:$V$676,MATCH($N50,'Base de dados IHS'!$C$1:$C$676,0),MATCH($R$1,'Base de dados IHS'!$A$1:$V$1,0))</f>
        <v>3.2914272228073789E-3</v>
      </c>
      <c r="S50" s="131">
        <f>INDEX('Base de dados IHS'!$A$1:$V$676,MATCH($N50,'Base de dados IHS'!$C$1:$C$676,0),MATCH($S$1,'Base de dados IHS'!$A$1:$V$1,0))</f>
        <v>-5.5298031667139289E-4</v>
      </c>
      <c r="T50" t="str">
        <f>IF(Q50&lt;'Cenario A ranking setor PIB'!$G$72,"N","Y")</f>
        <v>N</v>
      </c>
    </row>
    <row r="51" spans="1:20" hidden="1" x14ac:dyDescent="0.45">
      <c r="A51" s="293" t="s">
        <v>120</v>
      </c>
      <c r="B51" s="297" t="s">
        <v>6</v>
      </c>
      <c r="C51" s="297" t="s">
        <v>958</v>
      </c>
      <c r="D51" s="311">
        <v>4415.4296617600003</v>
      </c>
      <c r="E51" s="311">
        <v>4203.9501107799997</v>
      </c>
      <c r="F51" s="302">
        <f t="shared" si="3"/>
        <v>-4.7895576915544025E-2</v>
      </c>
      <c r="G51" s="311">
        <v>4066.0567304900001</v>
      </c>
      <c r="H51" s="311">
        <v>4203.9501107799997</v>
      </c>
      <c r="I51" s="302">
        <f t="shared" si="4"/>
        <v>3.3913294729998045E-2</v>
      </c>
      <c r="J51" s="311">
        <v>4438.6655898600002</v>
      </c>
      <c r="K51" s="311">
        <v>4866.79999924</v>
      </c>
      <c r="L51" s="311">
        <v>5156.6433818300002</v>
      </c>
      <c r="M51" s="312">
        <v>5868.76857217</v>
      </c>
      <c r="N51" t="str">
        <f t="shared" si="5"/>
        <v>AustraliaManufacture of machinery and equipment n.e.c. (C28)</v>
      </c>
      <c r="O51" s="11">
        <f>INDEX('Base de dados IHS'!$A$1:$V$676,MATCH($N51,'Base de dados IHS'!$C$1:$C$676,0),MATCH($O$1,'Base de dados IHS'!$A$1:$V$1,0))</f>
        <v>1256563.3075111001</v>
      </c>
      <c r="P51" s="11">
        <f>INDEX('Base de dados IHS'!$A$1:$V$676,MATCH($N51,'Base de dados IHS'!$C$1:$C$676,0),MATCH($P$1,'Base de dados IHS'!$A$1:$V$1,0))</f>
        <v>1430586.2916371</v>
      </c>
      <c r="Q51" s="131">
        <f>INDEX('Base de dados IHS'!$A$1:$V$676,MATCH($N51,'Base de dados IHS'!$C$1:$C$676,0),MATCH($Q$1,'Base de dados IHS'!$A$1:$V$1,0))</f>
        <v>3.2358550549623478E-3</v>
      </c>
      <c r="R51" s="131">
        <f>INDEX('Base de dados IHS'!$A$1:$V$676,MATCH($N51,'Base de dados IHS'!$C$1:$C$676,0),MATCH($R$1,'Base de dados IHS'!$A$1:$V$1,0))</f>
        <v>2.9386204351009013E-3</v>
      </c>
      <c r="S51" s="131">
        <f>INDEX('Base de dados IHS'!$A$1:$V$676,MATCH($N51,'Base de dados IHS'!$C$1:$C$676,0),MATCH($S$1,'Base de dados IHS'!$A$1:$V$1,0))</f>
        <v>-2.9723461986144641E-4</v>
      </c>
      <c r="T51" t="str">
        <f>IF(Q51&lt;'Cenario A ranking setor PIB'!$G$72,"N","Y")</f>
        <v>N</v>
      </c>
    </row>
    <row r="52" spans="1:20" hidden="1" x14ac:dyDescent="0.45">
      <c r="A52" s="293" t="s">
        <v>122</v>
      </c>
      <c r="B52" s="297" t="s">
        <v>6</v>
      </c>
      <c r="C52" s="297" t="s">
        <v>958</v>
      </c>
      <c r="D52" s="311">
        <v>493.66391128999999</v>
      </c>
      <c r="E52" s="311">
        <v>991.33537362000004</v>
      </c>
      <c r="F52" s="302">
        <f t="shared" si="3"/>
        <v>1.0081179744930675</v>
      </c>
      <c r="G52" s="311">
        <v>732.42843703000005</v>
      </c>
      <c r="H52" s="311">
        <v>991.33537362000004</v>
      </c>
      <c r="I52" s="302">
        <f t="shared" si="4"/>
        <v>0.35349110370409509</v>
      </c>
      <c r="J52" s="311">
        <v>1339.6166317699999</v>
      </c>
      <c r="K52" s="311">
        <v>1786.51776688</v>
      </c>
      <c r="L52" s="311">
        <v>2189.3398000000002</v>
      </c>
      <c r="M52" s="312">
        <v>3359.5124952000001</v>
      </c>
      <c r="N52" t="str">
        <f t="shared" si="5"/>
        <v>VietnamManufacture of machinery and equipment n.e.c. (C28)</v>
      </c>
      <c r="O52" s="11">
        <f>INDEX('Base de dados IHS'!$A$1:$V$676,MATCH($N52,'Base de dados IHS'!$C$1:$C$676,0),MATCH($O$1,'Base de dados IHS'!$A$1:$V$1,0))</f>
        <v>254018.52751081</v>
      </c>
      <c r="P52" s="11">
        <f>INDEX('Base de dados IHS'!$A$1:$V$676,MATCH($N52,'Base de dados IHS'!$C$1:$C$676,0),MATCH($P$1,'Base de dados IHS'!$A$1:$V$1,0))</f>
        <v>352775.42056751001</v>
      </c>
      <c r="Q52" s="131">
        <f>INDEX('Base de dados IHS'!$A$1:$V$676,MATCH($N52,'Base de dados IHS'!$C$1:$C$676,0),MATCH($Q$1,'Base de dados IHS'!$A$1:$V$1,0))</f>
        <v>2.8833662024862769E-3</v>
      </c>
      <c r="R52" s="131">
        <f>INDEX('Base de dados IHS'!$A$1:$V$676,MATCH($N52,'Base de dados IHS'!$C$1:$C$676,0),MATCH($R$1,'Base de dados IHS'!$A$1:$V$1,0))</f>
        <v>2.8101033003524972E-3</v>
      </c>
      <c r="S52" s="131">
        <f>INDEX('Base de dados IHS'!$A$1:$V$676,MATCH($N52,'Base de dados IHS'!$C$1:$C$676,0),MATCH($S$1,'Base de dados IHS'!$A$1:$V$1,0))</f>
        <v>-7.3262902133779725E-5</v>
      </c>
      <c r="T52" t="str">
        <f>IF(Q52&lt;'Cenario A ranking setor PIB'!$G$72,"N","Y")</f>
        <v>N</v>
      </c>
    </row>
    <row r="53" spans="1:20" hidden="1" x14ac:dyDescent="0.45">
      <c r="A53" s="293" t="s">
        <v>156</v>
      </c>
      <c r="B53" s="297" t="s">
        <v>6</v>
      </c>
      <c r="C53" s="297" t="s">
        <v>958</v>
      </c>
      <c r="D53" s="311">
        <v>528.3932714</v>
      </c>
      <c r="E53" s="311">
        <v>440.10146193999998</v>
      </c>
      <c r="F53" s="302">
        <f t="shared" si="3"/>
        <v>-0.16709487845306437</v>
      </c>
      <c r="G53" s="311">
        <v>375.07447234</v>
      </c>
      <c r="H53" s="311">
        <v>440.10146193999998</v>
      </c>
      <c r="I53" s="302">
        <f t="shared" si="4"/>
        <v>0.17337087537392804</v>
      </c>
      <c r="J53" s="311">
        <v>539.66039020999995</v>
      </c>
      <c r="K53" s="311">
        <v>554.76503141000001</v>
      </c>
      <c r="L53" s="311">
        <v>563.27102802000002</v>
      </c>
      <c r="M53" s="312">
        <v>583.74906587999999</v>
      </c>
      <c r="N53" t="str">
        <f t="shared" si="5"/>
        <v>GreeceManufacture of machinery and equipment n.e.c. (C28)</v>
      </c>
      <c r="O53" s="11">
        <f>INDEX('Base de dados IHS'!$A$1:$V$676,MATCH($N53,'Base de dados IHS'!$C$1:$C$676,0),MATCH($O$1,'Base de dados IHS'!$A$1:$V$1,0))</f>
        <v>196841.83448053</v>
      </c>
      <c r="P53" s="11">
        <f>INDEX('Base de dados IHS'!$A$1:$V$676,MATCH($N53,'Base de dados IHS'!$C$1:$C$676,0),MATCH($P$1,'Base de dados IHS'!$A$1:$V$1,0))</f>
        <v>201121.93838619001</v>
      </c>
      <c r="Q53" s="131">
        <f>INDEX('Base de dados IHS'!$A$1:$V$676,MATCH($N53,'Base de dados IHS'!$C$1:$C$676,0),MATCH($Q$1,'Base de dados IHS'!$A$1:$V$1,0))</f>
        <v>1.9054611705374008E-3</v>
      </c>
      <c r="R53" s="131">
        <f>INDEX('Base de dados IHS'!$A$1:$V$676,MATCH($N53,'Base de dados IHS'!$C$1:$C$676,0),MATCH($R$1,'Base de dados IHS'!$A$1:$V$1,0))</f>
        <v>2.1882320022936861E-3</v>
      </c>
      <c r="S53" s="131">
        <f>INDEX('Base de dados IHS'!$A$1:$V$676,MATCH($N53,'Base de dados IHS'!$C$1:$C$676,0),MATCH($S$1,'Base de dados IHS'!$A$1:$V$1,0))</f>
        <v>2.8277083175628527E-4</v>
      </c>
      <c r="T53" t="str">
        <f>IF(Q53&lt;'Cenario A ranking setor PIB'!$G$72,"N","Y")</f>
        <v>N</v>
      </c>
    </row>
    <row r="54" spans="1:20" hidden="1" x14ac:dyDescent="0.45">
      <c r="A54" s="293" t="s">
        <v>146</v>
      </c>
      <c r="B54" s="297" t="s">
        <v>6</v>
      </c>
      <c r="C54" s="297" t="s">
        <v>958</v>
      </c>
      <c r="D54" s="311">
        <v>697.51608849000002</v>
      </c>
      <c r="E54" s="311">
        <v>756.02945475000001</v>
      </c>
      <c r="F54" s="302">
        <f t="shared" si="3"/>
        <v>8.3888195878995653E-2</v>
      </c>
      <c r="G54" s="311">
        <v>683.80134825000005</v>
      </c>
      <c r="H54" s="311">
        <v>756.02945475000001</v>
      </c>
      <c r="I54" s="302">
        <f t="shared" si="4"/>
        <v>0.10562732390751761</v>
      </c>
      <c r="J54" s="311">
        <v>808.73405392999996</v>
      </c>
      <c r="K54" s="311">
        <v>967.78570212</v>
      </c>
      <c r="L54" s="311">
        <v>1079.4396107099999</v>
      </c>
      <c r="M54" s="312">
        <v>1402.80327066</v>
      </c>
      <c r="N54" t="str">
        <f t="shared" si="5"/>
        <v>EgyptManufacture of machinery and equipment n.e.c. (C28)</v>
      </c>
      <c r="O54" s="11">
        <f>INDEX('Base de dados IHS'!$A$1:$V$676,MATCH($N54,'Base de dados IHS'!$C$1:$C$676,0),MATCH($O$1,'Base de dados IHS'!$A$1:$V$1,0))</f>
        <v>276522.47435759002</v>
      </c>
      <c r="P54" s="11">
        <f>INDEX('Base de dados IHS'!$A$1:$V$676,MATCH($N54,'Base de dados IHS'!$C$1:$C$676,0),MATCH($P$1,'Base de dados IHS'!$A$1:$V$1,0))</f>
        <v>357883.01385108999</v>
      </c>
      <c r="Q54" s="131">
        <f>INDEX('Base de dados IHS'!$A$1:$V$676,MATCH($N54,'Base de dados IHS'!$C$1:$C$676,0),MATCH($Q$1,'Base de dados IHS'!$A$1:$V$1,0))</f>
        <v>2.4728599360272249E-3</v>
      </c>
      <c r="R54" s="131">
        <f>INDEX('Base de dados IHS'!$A$1:$V$676,MATCH($N54,'Base de dados IHS'!$C$1:$C$676,0),MATCH($R$1,'Base de dados IHS'!$A$1:$V$1,0))</f>
        <v>2.1125044371750291E-3</v>
      </c>
      <c r="S54" s="131">
        <f>INDEX('Base de dados IHS'!$A$1:$V$676,MATCH($N54,'Base de dados IHS'!$C$1:$C$676,0),MATCH($S$1,'Base de dados IHS'!$A$1:$V$1,0))</f>
        <v>-3.603554988521958E-4</v>
      </c>
      <c r="T54" t="str">
        <f>IF(Q54&lt;'Cenario A ranking setor PIB'!$G$72,"N","Y")</f>
        <v>N</v>
      </c>
    </row>
    <row r="55" spans="1:20" hidden="1" x14ac:dyDescent="0.45">
      <c r="A55" s="293" t="s">
        <v>148</v>
      </c>
      <c r="B55" s="297" t="s">
        <v>6</v>
      </c>
      <c r="C55" s="297" t="s">
        <v>958</v>
      </c>
      <c r="D55" s="311">
        <v>72.960590890000006</v>
      </c>
      <c r="E55" s="311">
        <v>75.975526239999994</v>
      </c>
      <c r="F55" s="302">
        <f t="shared" si="3"/>
        <v>4.1322792390010799E-2</v>
      </c>
      <c r="G55" s="311">
        <v>77.863514620000004</v>
      </c>
      <c r="H55" s="311">
        <v>75.975526239999994</v>
      </c>
      <c r="I55" s="302">
        <f t="shared" si="4"/>
        <v>-2.4247407649321095E-2</v>
      </c>
      <c r="J55" s="311">
        <v>81.38705435</v>
      </c>
      <c r="K55" s="311">
        <v>85.421528629999997</v>
      </c>
      <c r="L55" s="311">
        <v>88.910285209999998</v>
      </c>
      <c r="M55" s="312">
        <v>96.102860179999993</v>
      </c>
      <c r="N55" t="str">
        <f t="shared" si="5"/>
        <v>BahrainManufacture of machinery and equipment n.e.c. (C28)</v>
      </c>
      <c r="O55" s="11">
        <f>INDEX('Base de dados IHS'!$A$1:$V$676,MATCH($N55,'Base de dados IHS'!$C$1:$C$676,0),MATCH($O$1,'Base de dados IHS'!$A$1:$V$1,0))</f>
        <v>33332.328188890002</v>
      </c>
      <c r="P55" s="11">
        <f>INDEX('Base de dados IHS'!$A$1:$V$676,MATCH($N55,'Base de dados IHS'!$C$1:$C$676,0),MATCH($P$1,'Base de dados IHS'!$A$1:$V$1,0))</f>
        <v>36767.801730239997</v>
      </c>
      <c r="Q55" s="131">
        <f>INDEX('Base de dados IHS'!$A$1:$V$676,MATCH($N55,'Base de dados IHS'!$C$1:$C$676,0),MATCH($Q$1,'Base de dados IHS'!$A$1:$V$1,0))</f>
        <v>2.3359758783952178E-3</v>
      </c>
      <c r="R55" s="131">
        <f>INDEX('Base de dados IHS'!$A$1:$V$676,MATCH($N55,'Base de dados IHS'!$C$1:$C$676,0),MATCH($R$1,'Base de dados IHS'!$A$1:$V$1,0))</f>
        <v>2.066360311596036E-3</v>
      </c>
      <c r="S55" s="131">
        <f>INDEX('Base de dados IHS'!$A$1:$V$676,MATCH($N55,'Base de dados IHS'!$C$1:$C$676,0),MATCH($S$1,'Base de dados IHS'!$A$1:$V$1,0))</f>
        <v>-2.6961556679918177E-4</v>
      </c>
      <c r="T55" t="str">
        <f>IF(Q55&lt;'Cenario A ranking setor PIB'!$G$72,"N","Y")</f>
        <v>N</v>
      </c>
    </row>
    <row r="56" spans="1:20" hidden="1" x14ac:dyDescent="0.45">
      <c r="A56" s="293" t="s">
        <v>105</v>
      </c>
      <c r="B56" s="297" t="s">
        <v>6</v>
      </c>
      <c r="C56" s="297" t="s">
        <v>958</v>
      </c>
      <c r="D56" s="311">
        <v>1057.42615411</v>
      </c>
      <c r="E56" s="311">
        <v>1341.82077936</v>
      </c>
      <c r="F56" s="302">
        <f t="shared" si="3"/>
        <v>0.26894986864531023</v>
      </c>
      <c r="G56" s="311">
        <v>1266.2875933299999</v>
      </c>
      <c r="H56" s="311">
        <v>1341.82077936</v>
      </c>
      <c r="I56" s="302">
        <f t="shared" si="4"/>
        <v>5.9649313811381388E-2</v>
      </c>
      <c r="J56" s="311">
        <v>1518.97694568</v>
      </c>
      <c r="K56" s="311">
        <v>1691.5311545100001</v>
      </c>
      <c r="L56" s="311">
        <v>1898.14677385</v>
      </c>
      <c r="M56" s="312">
        <v>2308.44687853</v>
      </c>
      <c r="N56" t="str">
        <f t="shared" si="5"/>
        <v>Saudi ArabiaManufacture of machinery and equipment n.e.c. (C28)</v>
      </c>
      <c r="O56" s="11">
        <f>INDEX('Base de dados IHS'!$A$1:$V$676,MATCH($N56,'Base de dados IHS'!$C$1:$C$676,0),MATCH($O$1,'Base de dados IHS'!$A$1:$V$1,0))</f>
        <v>791157.39281293005</v>
      </c>
      <c r="P56" s="11">
        <f>INDEX('Base de dados IHS'!$A$1:$V$676,MATCH($N56,'Base de dados IHS'!$C$1:$C$676,0),MATCH($P$1,'Base de dados IHS'!$A$1:$V$1,0))</f>
        <v>836861.61444072996</v>
      </c>
      <c r="Q56" s="131">
        <f>INDEX('Base de dados IHS'!$A$1:$V$676,MATCH($N56,'Base de dados IHS'!$C$1:$C$676,0),MATCH($Q$1,'Base de dados IHS'!$A$1:$V$1,0))</f>
        <v>1.6005507941065462E-3</v>
      </c>
      <c r="R56" s="131">
        <f>INDEX('Base de dados IHS'!$A$1:$V$676,MATCH($N56,'Base de dados IHS'!$C$1:$C$676,0),MATCH($R$1,'Base de dados IHS'!$A$1:$V$1,0))</f>
        <v>1.6033962559708649E-3</v>
      </c>
      <c r="S56" s="131">
        <f>INDEX('Base de dados IHS'!$A$1:$V$676,MATCH($N56,'Base de dados IHS'!$C$1:$C$676,0),MATCH($S$1,'Base de dados IHS'!$A$1:$V$1,0))</f>
        <v>2.8454618643187265E-6</v>
      </c>
      <c r="T56" t="str">
        <f>IF(Q56&lt;'Cenario A ranking setor PIB'!$G$72,"N","Y")</f>
        <v>N</v>
      </c>
    </row>
    <row r="57" spans="1:20" hidden="1" x14ac:dyDescent="0.45">
      <c r="A57" s="293" t="s">
        <v>150</v>
      </c>
      <c r="B57" s="297" t="s">
        <v>6</v>
      </c>
      <c r="C57" s="297" t="s">
        <v>958</v>
      </c>
      <c r="D57" s="311">
        <v>273.55175446999999</v>
      </c>
      <c r="E57" s="311">
        <v>521.29217939</v>
      </c>
      <c r="F57" s="302">
        <f t="shared" si="3"/>
        <v>0.90564370680053274</v>
      </c>
      <c r="G57" s="311">
        <v>394.97493446999999</v>
      </c>
      <c r="H57" s="311">
        <v>521.29217939</v>
      </c>
      <c r="I57" s="302">
        <f t="shared" si="4"/>
        <v>0.31981078771365512</v>
      </c>
      <c r="J57" s="311">
        <v>797.23080927000001</v>
      </c>
      <c r="K57" s="311">
        <v>949.59318949999999</v>
      </c>
      <c r="L57" s="311">
        <v>1070.2728591499999</v>
      </c>
      <c r="M57" s="312">
        <v>1392.2065790700001</v>
      </c>
      <c r="N57" t="str">
        <f t="shared" si="5"/>
        <v>PhilippinesManufacture of machinery and equipment n.e.c. (C28)</v>
      </c>
      <c r="O57" s="11">
        <f>INDEX('Base de dados IHS'!$A$1:$V$676,MATCH($N57,'Base de dados IHS'!$C$1:$C$676,0),MATCH($O$1,'Base de dados IHS'!$A$1:$V$1,0))</f>
        <v>291518.00825125998</v>
      </c>
      <c r="P57" s="11">
        <f>INDEX('Base de dados IHS'!$A$1:$V$676,MATCH($N57,'Base de dados IHS'!$C$1:$C$676,0),MATCH($P$1,'Base de dados IHS'!$A$1:$V$1,0))</f>
        <v>360513.15606205998</v>
      </c>
      <c r="Q57" s="131">
        <f>INDEX('Base de dados IHS'!$A$1:$V$676,MATCH($N57,'Base de dados IHS'!$C$1:$C$676,0),MATCH($Q$1,'Base de dados IHS'!$A$1:$V$1,0))</f>
        <v>1.3548903439597128E-3</v>
      </c>
      <c r="R57" s="131">
        <f>INDEX('Base de dados IHS'!$A$1:$V$676,MATCH($N57,'Base de dados IHS'!$C$1:$C$676,0),MATCH($R$1,'Base de dados IHS'!$A$1:$V$1,0))</f>
        <v>1.4459726937129111E-3</v>
      </c>
      <c r="S57" s="131">
        <f>INDEX('Base de dados IHS'!$A$1:$V$676,MATCH($N57,'Base de dados IHS'!$C$1:$C$676,0),MATCH($S$1,'Base de dados IHS'!$A$1:$V$1,0))</f>
        <v>9.1082349753198334E-5</v>
      </c>
      <c r="T57" t="str">
        <f>IF(Q57&lt;'Cenario A ranking setor PIB'!$G$72,"N","Y")</f>
        <v>N</v>
      </c>
    </row>
    <row r="58" spans="1:20" hidden="1" x14ac:dyDescent="0.45">
      <c r="A58" s="293" t="s">
        <v>164</v>
      </c>
      <c r="B58" s="297" t="s">
        <v>6</v>
      </c>
      <c r="C58" s="297" t="s">
        <v>958</v>
      </c>
      <c r="D58" s="311">
        <v>160.55456382</v>
      </c>
      <c r="E58" s="311">
        <v>176.46124864000001</v>
      </c>
      <c r="F58" s="302">
        <f t="shared" si="3"/>
        <v>9.9073389391990174E-2</v>
      </c>
      <c r="G58" s="311">
        <v>152.03038734</v>
      </c>
      <c r="H58" s="311">
        <v>176.46124864000001</v>
      </c>
      <c r="I58" s="302">
        <f t="shared" si="4"/>
        <v>0.16069722459736258</v>
      </c>
      <c r="J58" s="311">
        <v>185.07036427</v>
      </c>
      <c r="K58" s="311">
        <v>201.02170577999999</v>
      </c>
      <c r="L58" s="311">
        <v>213.54614107</v>
      </c>
      <c r="M58" s="312">
        <v>250.98138906</v>
      </c>
      <c r="N58" t="str">
        <f t="shared" si="5"/>
        <v>MoroccoManufacture of machinery and equipment n.e.c. (C28)</v>
      </c>
      <c r="O58" s="11">
        <f>INDEX('Base de dados IHS'!$A$1:$V$676,MATCH($N58,'Base de dados IHS'!$C$1:$C$676,0),MATCH($O$1,'Base de dados IHS'!$A$1:$V$1,0))</f>
        <v>115608.87885166</v>
      </c>
      <c r="P58" s="11">
        <f>INDEX('Base de dados IHS'!$A$1:$V$676,MATCH($N58,'Base de dados IHS'!$C$1:$C$676,0),MATCH($P$1,'Base de dados IHS'!$A$1:$V$1,0))</f>
        <v>129710.11086108</v>
      </c>
      <c r="Q58" s="131">
        <f>INDEX('Base de dados IHS'!$A$1:$V$676,MATCH($N58,'Base de dados IHS'!$C$1:$C$676,0),MATCH($Q$1,'Base de dados IHS'!$A$1:$V$1,0))</f>
        <v>1.3150407550883106E-3</v>
      </c>
      <c r="R58" s="131">
        <f>INDEX('Base de dados IHS'!$A$1:$V$676,MATCH($N58,'Base de dados IHS'!$C$1:$C$676,0),MATCH($R$1,'Base de dados IHS'!$A$1:$V$1,0))</f>
        <v>1.3604278607778745E-3</v>
      </c>
      <c r="S58" s="131">
        <f>INDEX('Base de dados IHS'!$A$1:$V$676,MATCH($N58,'Base de dados IHS'!$C$1:$C$676,0),MATCH($S$1,'Base de dados IHS'!$A$1:$V$1,0))</f>
        <v>4.5387105689563903E-5</v>
      </c>
      <c r="T58" t="str">
        <f>IF(Q58&lt;'Cenario A ranking setor PIB'!$G$72,"N","Y")</f>
        <v>N</v>
      </c>
    </row>
    <row r="59" spans="1:20" hidden="1" x14ac:dyDescent="0.45">
      <c r="A59" s="293" t="s">
        <v>176</v>
      </c>
      <c r="B59" s="297" t="s">
        <v>6</v>
      </c>
      <c r="C59" s="297" t="s">
        <v>958</v>
      </c>
      <c r="D59" s="311">
        <v>138.87570869000001</v>
      </c>
      <c r="E59" s="311">
        <v>59.294910309999999</v>
      </c>
      <c r="F59" s="302">
        <f t="shared" si="3"/>
        <v>-0.57303612799298986</v>
      </c>
      <c r="G59" s="311">
        <v>97.214182469999997</v>
      </c>
      <c r="H59" s="311">
        <v>59.294910309999999</v>
      </c>
      <c r="I59" s="302">
        <f t="shared" si="4"/>
        <v>-0.39005905513531192</v>
      </c>
      <c r="J59" s="311">
        <v>55.144584219999999</v>
      </c>
      <c r="K59" s="311">
        <v>58.714411499999997</v>
      </c>
      <c r="L59" s="311">
        <v>61.564846549999999</v>
      </c>
      <c r="M59" s="312">
        <v>68.333146260000007</v>
      </c>
      <c r="N59" t="str">
        <f t="shared" si="5"/>
        <v>JordanManufacture of machinery and equipment n.e.c. (C28)</v>
      </c>
      <c r="O59" s="11">
        <f>INDEX('Base de dados IHS'!$A$1:$V$676,MATCH($N59,'Base de dados IHS'!$C$1:$C$676,0),MATCH($O$1,'Base de dados IHS'!$A$1:$V$1,0))</f>
        <v>41181.394892199998</v>
      </c>
      <c r="P59" s="11">
        <f>INDEX('Base de dados IHS'!$A$1:$V$676,MATCH($N59,'Base de dados IHS'!$C$1:$C$676,0),MATCH($P$1,'Base de dados IHS'!$A$1:$V$1,0))</f>
        <v>44841.419332370002</v>
      </c>
      <c r="Q59" s="131">
        <f>INDEX('Base de dados IHS'!$A$1:$V$676,MATCH($N59,'Base de dados IHS'!$C$1:$C$676,0),MATCH($Q$1,'Base de dados IHS'!$A$1:$V$1,0))</f>
        <v>2.3606335512547909E-3</v>
      </c>
      <c r="R59" s="131">
        <f>INDEX('Base de dados IHS'!$A$1:$V$676,MATCH($N59,'Base de dados IHS'!$C$1:$C$676,0),MATCH($R$1,'Base de dados IHS'!$A$1:$V$1,0))</f>
        <v>1.3223245649407077E-3</v>
      </c>
      <c r="S59" s="131">
        <f>INDEX('Base de dados IHS'!$A$1:$V$676,MATCH($N59,'Base de dados IHS'!$C$1:$C$676,0),MATCH($S$1,'Base de dados IHS'!$A$1:$V$1,0))</f>
        <v>-1.0383089863140833E-3</v>
      </c>
      <c r="T59" t="str">
        <f>IF(Q59&lt;'Cenario A ranking setor PIB'!$G$72,"N","Y")</f>
        <v>N</v>
      </c>
    </row>
    <row r="60" spans="1:20" hidden="1" x14ac:dyDescent="0.45">
      <c r="A60" s="293" t="s">
        <v>154</v>
      </c>
      <c r="B60" s="297" t="s">
        <v>6</v>
      </c>
      <c r="C60" s="297" t="s">
        <v>958</v>
      </c>
      <c r="D60" s="311">
        <v>211.38570168000001</v>
      </c>
      <c r="E60" s="311">
        <v>334.44760604999999</v>
      </c>
      <c r="F60" s="302">
        <f t="shared" si="3"/>
        <v>0.58216758934950863</v>
      </c>
      <c r="G60" s="311">
        <v>255.72091983999999</v>
      </c>
      <c r="H60" s="311">
        <v>334.44760604999999</v>
      </c>
      <c r="I60" s="302">
        <f t="shared" si="4"/>
        <v>0.30786173559542118</v>
      </c>
      <c r="J60" s="311">
        <v>384.43007082999998</v>
      </c>
      <c r="K60" s="311">
        <v>461.66734723000002</v>
      </c>
      <c r="L60" s="311">
        <v>522.24278892999996</v>
      </c>
      <c r="M60" s="312">
        <v>691.42637079999997</v>
      </c>
      <c r="N60" t="str">
        <f t="shared" si="5"/>
        <v>PakistanManufacture of machinery and equipment n.e.c. (C28)</v>
      </c>
      <c r="O60" s="11">
        <f>INDEX('Base de dados IHS'!$A$1:$V$676,MATCH($N60,'Base de dados IHS'!$C$1:$C$676,0),MATCH($O$1,'Base de dados IHS'!$A$1:$V$1,0))</f>
        <v>243681.57424943999</v>
      </c>
      <c r="P60" s="11">
        <f>INDEX('Base de dados IHS'!$A$1:$V$676,MATCH($N60,'Base de dados IHS'!$C$1:$C$676,0),MATCH($P$1,'Base de dados IHS'!$A$1:$V$1,0))</f>
        <v>307178.14587732003</v>
      </c>
      <c r="Q60" s="131">
        <f>INDEX('Base de dados IHS'!$A$1:$V$676,MATCH($N60,'Base de dados IHS'!$C$1:$C$676,0),MATCH($Q$1,'Base de dados IHS'!$A$1:$V$1,0))</f>
        <v>1.0494060563571218E-3</v>
      </c>
      <c r="R60" s="131">
        <f>INDEX('Base de dados IHS'!$A$1:$V$676,MATCH($N60,'Base de dados IHS'!$C$1:$C$676,0),MATCH($R$1,'Base de dados IHS'!$A$1:$V$1,0))</f>
        <v>1.088774089363671E-3</v>
      </c>
      <c r="S60" s="131">
        <f>INDEX('Base de dados IHS'!$A$1:$V$676,MATCH($N60,'Base de dados IHS'!$C$1:$C$676,0),MATCH($S$1,'Base de dados IHS'!$A$1:$V$1,0))</f>
        <v>3.9368033006549228E-5</v>
      </c>
      <c r="T60" t="str">
        <f>IF(Q60&lt;'Cenario A ranking setor PIB'!$G$72,"N","Y")</f>
        <v>N</v>
      </c>
    </row>
    <row r="61" spans="1:20" hidden="1" x14ac:dyDescent="0.45">
      <c r="A61" s="293" t="s">
        <v>169</v>
      </c>
      <c r="B61" s="297" t="s">
        <v>6</v>
      </c>
      <c r="C61" s="297" t="s">
        <v>958</v>
      </c>
      <c r="D61" s="311">
        <v>53.112213689999997</v>
      </c>
      <c r="E61" s="311">
        <v>72.627947539999994</v>
      </c>
      <c r="F61" s="302">
        <f t="shared" si="3"/>
        <v>0.36744342768138916</v>
      </c>
      <c r="G61" s="311">
        <v>62.191558299999997</v>
      </c>
      <c r="H61" s="311">
        <v>72.627947539999994</v>
      </c>
      <c r="I61" s="302">
        <f t="shared" si="4"/>
        <v>0.167810383358733</v>
      </c>
      <c r="J61" s="311">
        <v>92.238250710000003</v>
      </c>
      <c r="K61" s="311">
        <v>103.78196448</v>
      </c>
      <c r="L61" s="311">
        <v>113.34158443</v>
      </c>
      <c r="M61" s="312">
        <v>140.04938908</v>
      </c>
      <c r="N61" t="str">
        <f t="shared" si="5"/>
        <v>Costa RicaManufacture of machinery and equipment n.e.c. (C28)</v>
      </c>
      <c r="O61" s="11">
        <f>INDEX('Base de dados IHS'!$A$1:$V$676,MATCH($N61,'Base de dados IHS'!$C$1:$C$676,0),MATCH($O$1,'Base de dados IHS'!$A$1:$V$1,0))</f>
        <v>56790.776904650003</v>
      </c>
      <c r="P61" s="11">
        <f>INDEX('Base de dados IHS'!$A$1:$V$676,MATCH($N61,'Base de dados IHS'!$C$1:$C$676,0),MATCH($P$1,'Base de dados IHS'!$A$1:$V$1,0))</f>
        <v>66933.267445050005</v>
      </c>
      <c r="Q61" s="131">
        <f>INDEX('Base de dados IHS'!$A$1:$V$676,MATCH($N61,'Base de dados IHS'!$C$1:$C$676,0),MATCH($Q$1,'Base de dados IHS'!$A$1:$V$1,0))</f>
        <v>1.0950996216237321E-3</v>
      </c>
      <c r="R61" s="131">
        <f>INDEX('Base de dados IHS'!$A$1:$V$676,MATCH($N61,'Base de dados IHS'!$C$1:$C$676,0),MATCH($R$1,'Base de dados IHS'!$A$1:$V$1,0))</f>
        <v>1.08507996564825E-3</v>
      </c>
      <c r="S61" s="131">
        <f>INDEX('Base de dados IHS'!$A$1:$V$676,MATCH($N61,'Base de dados IHS'!$C$1:$C$676,0),MATCH($S$1,'Base de dados IHS'!$A$1:$V$1,0))</f>
        <v>-1.001965597548205E-5</v>
      </c>
      <c r="T61" t="str">
        <f>IF(Q61&lt;'Cenario A ranking setor PIB'!$G$72,"N","Y")</f>
        <v>N</v>
      </c>
    </row>
    <row r="62" spans="1:20" hidden="1" x14ac:dyDescent="0.45">
      <c r="A62" s="293" t="s">
        <v>152</v>
      </c>
      <c r="B62" s="297" t="s">
        <v>6</v>
      </c>
      <c r="C62" s="297" t="s">
        <v>958</v>
      </c>
      <c r="D62" s="311">
        <v>189.01924438</v>
      </c>
      <c r="E62" s="311">
        <v>168.79287485</v>
      </c>
      <c r="F62" s="302">
        <f t="shared" si="3"/>
        <v>-0.1070069325287184</v>
      </c>
      <c r="G62" s="311">
        <v>190.02590798</v>
      </c>
      <c r="H62" s="311">
        <v>168.79287485</v>
      </c>
      <c r="I62" s="302">
        <f t="shared" si="4"/>
        <v>-0.11173756965936843</v>
      </c>
      <c r="J62" s="311">
        <v>214.051354</v>
      </c>
      <c r="K62" s="311">
        <v>240.91315824</v>
      </c>
      <c r="L62" s="311">
        <v>262.83218360000001</v>
      </c>
      <c r="M62" s="312">
        <v>320.90854308000002</v>
      </c>
      <c r="N62" t="str">
        <f t="shared" si="5"/>
        <v>ColombiaManufacture of machinery and equipment n.e.c. (C28)</v>
      </c>
      <c r="O62" s="11">
        <f>INDEX('Base de dados IHS'!$A$1:$V$676,MATCH($N62,'Base de dados IHS'!$C$1:$C$676,0),MATCH($O$1,'Base de dados IHS'!$A$1:$V$1,0))</f>
        <v>295018.32730579999</v>
      </c>
      <c r="P62" s="11">
        <f>INDEX('Base de dados IHS'!$A$1:$V$676,MATCH($N62,'Base de dados IHS'!$C$1:$C$676,0),MATCH($P$1,'Base de dados IHS'!$A$1:$V$1,0))</f>
        <v>332655.81031924998</v>
      </c>
      <c r="Q62" s="131">
        <f>INDEX('Base de dados IHS'!$A$1:$V$676,MATCH($N62,'Base de dados IHS'!$C$1:$C$676,0),MATCH($Q$1,'Base de dados IHS'!$A$1:$V$1,0))</f>
        <v>6.441156036486827E-4</v>
      </c>
      <c r="R62" s="131">
        <f>INDEX('Base de dados IHS'!$A$1:$V$676,MATCH($N62,'Base de dados IHS'!$C$1:$C$676,0),MATCH($R$1,'Base de dados IHS'!$A$1:$V$1,0))</f>
        <v>5.0740997034745723E-4</v>
      </c>
      <c r="S62" s="131">
        <f>INDEX('Base de dados IHS'!$A$1:$V$676,MATCH($N62,'Base de dados IHS'!$C$1:$C$676,0),MATCH($S$1,'Base de dados IHS'!$A$1:$V$1,0))</f>
        <v>-1.3670563330122547E-4</v>
      </c>
      <c r="T62" t="str">
        <f>IF(Q62&lt;'Cenario A ranking setor PIB'!$G$72,"N","Y")</f>
        <v>N</v>
      </c>
    </row>
    <row r="63" spans="1:20" hidden="1" x14ac:dyDescent="0.45">
      <c r="A63" s="293" t="s">
        <v>165</v>
      </c>
      <c r="B63" s="297" t="s">
        <v>6</v>
      </c>
      <c r="C63" s="297" t="s">
        <v>958</v>
      </c>
      <c r="D63" s="311">
        <v>35.878475819999998</v>
      </c>
      <c r="E63" s="311">
        <v>52.445376490000001</v>
      </c>
      <c r="F63" s="302">
        <f t="shared" si="3"/>
        <v>0.46175040303035941</v>
      </c>
      <c r="G63" s="311">
        <v>37.229871189999997</v>
      </c>
      <c r="H63" s="311">
        <v>52.445376490000001</v>
      </c>
      <c r="I63" s="302">
        <f t="shared" si="4"/>
        <v>0.40869078548106597</v>
      </c>
      <c r="J63" s="311">
        <v>63.176050500000002</v>
      </c>
      <c r="K63" s="311">
        <v>72.612338289999997</v>
      </c>
      <c r="L63" s="311">
        <v>80.660839609999996</v>
      </c>
      <c r="M63" s="312">
        <v>102.68532872</v>
      </c>
      <c r="N63" t="str">
        <f t="shared" si="5"/>
        <v>EcuadorManufacture of machinery and equipment n.e.c. (C28)</v>
      </c>
      <c r="O63" s="11">
        <f>INDEX('Base de dados IHS'!$A$1:$V$676,MATCH($N63,'Base de dados IHS'!$C$1:$C$676,0),MATCH($O$1,'Base de dados IHS'!$A$1:$V$1,0))</f>
        <v>105544.34131757999</v>
      </c>
      <c r="P63" s="11">
        <f>INDEX('Base de dados IHS'!$A$1:$V$676,MATCH($N63,'Base de dados IHS'!$C$1:$C$676,0),MATCH($P$1,'Base de dados IHS'!$A$1:$V$1,0))</f>
        <v>103911.06087433999</v>
      </c>
      <c r="Q63" s="131">
        <f>INDEX('Base de dados IHS'!$A$1:$V$676,MATCH($N63,'Base de dados IHS'!$C$1:$C$676,0),MATCH($Q$1,'Base de dados IHS'!$A$1:$V$1,0))</f>
        <v>3.5274151816416522E-4</v>
      </c>
      <c r="R63" s="131">
        <f>INDEX('Base de dados IHS'!$A$1:$V$676,MATCH($N63,'Base de dados IHS'!$C$1:$C$676,0),MATCH($R$1,'Base de dados IHS'!$A$1:$V$1,0))</f>
        <v>5.0471408961383216E-4</v>
      </c>
      <c r="S63" s="131">
        <f>INDEX('Base de dados IHS'!$A$1:$V$676,MATCH($N63,'Base de dados IHS'!$C$1:$C$676,0),MATCH($S$1,'Base de dados IHS'!$A$1:$V$1,0))</f>
        <v>1.5197257144966694E-4</v>
      </c>
      <c r="T63" t="str">
        <f>IF(Q63&lt;'Cenario A ranking setor PIB'!$G$72,"N","Y")</f>
        <v>N</v>
      </c>
    </row>
    <row r="64" spans="1:20" hidden="1" x14ac:dyDescent="0.45">
      <c r="A64" s="293" t="s">
        <v>142</v>
      </c>
      <c r="B64" s="297" t="s">
        <v>6</v>
      </c>
      <c r="C64" s="297" t="s">
        <v>958</v>
      </c>
      <c r="D64" s="311">
        <v>205.46194568000001</v>
      </c>
      <c r="E64" s="311">
        <v>210.72552614</v>
      </c>
      <c r="F64" s="302">
        <f t="shared" si="3"/>
        <v>2.5618274189799672E-2</v>
      </c>
      <c r="G64" s="311">
        <v>206.99762386</v>
      </c>
      <c r="H64" s="311">
        <v>210.72552614</v>
      </c>
      <c r="I64" s="302">
        <f t="shared" si="4"/>
        <v>1.8009396487185247E-2</v>
      </c>
      <c r="J64" s="311">
        <v>243.21238428000001</v>
      </c>
      <c r="K64" s="311">
        <v>266.85938146000001</v>
      </c>
      <c r="L64" s="311">
        <v>286.79813762999999</v>
      </c>
      <c r="M64" s="312">
        <v>346.40021773000001</v>
      </c>
      <c r="N64" t="str">
        <f t="shared" si="5"/>
        <v>ArgentinaManufacture of machinery and equipment n.e.c. (C28)</v>
      </c>
      <c r="O64" s="11">
        <f>INDEX('Base de dados IHS'!$A$1:$V$676,MATCH($N64,'Base de dados IHS'!$C$1:$C$676,0),MATCH($O$1,'Base de dados IHS'!$A$1:$V$1,0))</f>
        <v>464976.94374428003</v>
      </c>
      <c r="P64" s="11">
        <f>INDEX('Base de dados IHS'!$A$1:$V$676,MATCH($N64,'Base de dados IHS'!$C$1:$C$676,0),MATCH($P$1,'Base de dados IHS'!$A$1:$V$1,0))</f>
        <v>445673.70595729002</v>
      </c>
      <c r="Q64" s="131">
        <f>INDEX('Base de dados IHS'!$A$1:$V$676,MATCH($N64,'Base de dados IHS'!$C$1:$C$676,0),MATCH($Q$1,'Base de dados IHS'!$A$1:$V$1,0))</f>
        <v>4.4517825377131165E-4</v>
      </c>
      <c r="R64" s="131">
        <f>INDEX('Base de dados IHS'!$A$1:$V$676,MATCH($N64,'Base de dados IHS'!$C$1:$C$676,0),MATCH($R$1,'Base de dados IHS'!$A$1:$V$1,0))</f>
        <v>4.7282467716458536E-4</v>
      </c>
      <c r="S64" s="131">
        <f>INDEX('Base de dados IHS'!$A$1:$V$676,MATCH($N64,'Base de dados IHS'!$C$1:$C$676,0),MATCH($S$1,'Base de dados IHS'!$A$1:$V$1,0))</f>
        <v>2.7646423393273714E-5</v>
      </c>
      <c r="T64" t="str">
        <f>IF(Q64&lt;'Cenario A ranking setor PIB'!$G$72,"N","Y")</f>
        <v>N</v>
      </c>
    </row>
    <row r="65" spans="1:20" hidden="1" x14ac:dyDescent="0.45">
      <c r="A65" s="293" t="s">
        <v>172</v>
      </c>
      <c r="B65" s="297" t="s">
        <v>6</v>
      </c>
      <c r="C65" s="297" t="s">
        <v>958</v>
      </c>
      <c r="D65" s="311">
        <v>14.313176179999999</v>
      </c>
      <c r="E65" s="311">
        <v>19.562316070000001</v>
      </c>
      <c r="F65" s="302">
        <f t="shared" si="3"/>
        <v>0.36673480602682007</v>
      </c>
      <c r="G65" s="311">
        <v>12.59552422</v>
      </c>
      <c r="H65" s="311">
        <v>19.562316070000001</v>
      </c>
      <c r="I65" s="302">
        <f t="shared" si="4"/>
        <v>0.55311646647764556</v>
      </c>
      <c r="J65" s="311">
        <v>20.870441759999999</v>
      </c>
      <c r="K65" s="311">
        <v>23.787540249999999</v>
      </c>
      <c r="L65" s="311">
        <v>25.830318770000002</v>
      </c>
      <c r="M65" s="312">
        <v>30.180703739999998</v>
      </c>
      <c r="N65" t="str">
        <f t="shared" si="5"/>
        <v>UruguayManufacture of machinery and equipment n.e.c. (C28)</v>
      </c>
      <c r="O65" s="11">
        <f>INDEX('Base de dados IHS'!$A$1:$V$676,MATCH($N65,'Base de dados IHS'!$C$1:$C$676,0),MATCH($O$1,'Base de dados IHS'!$A$1:$V$1,0))</f>
        <v>59449.563607900003</v>
      </c>
      <c r="P65" s="11">
        <f>INDEX('Base de dados IHS'!$A$1:$V$676,MATCH($N65,'Base de dados IHS'!$C$1:$C$676,0),MATCH($P$1,'Base de dados IHS'!$A$1:$V$1,0))</f>
        <v>61243.536031950003</v>
      </c>
      <c r="Q65" s="131">
        <f>INDEX('Base de dados IHS'!$A$1:$V$676,MATCH($N65,'Base de dados IHS'!$C$1:$C$676,0),MATCH($Q$1,'Base de dados IHS'!$A$1:$V$1,0))</f>
        <v>2.1186907784679235E-4</v>
      </c>
      <c r="R65" s="131">
        <f>INDEX('Base de dados IHS'!$A$1:$V$676,MATCH($N65,'Base de dados IHS'!$C$1:$C$676,0),MATCH($R$1,'Base de dados IHS'!$A$1:$V$1,0))</f>
        <v>3.1941846172622331E-4</v>
      </c>
      <c r="S65" s="131">
        <f>INDEX('Base de dados IHS'!$A$1:$V$676,MATCH($N65,'Base de dados IHS'!$C$1:$C$676,0),MATCH($S$1,'Base de dados IHS'!$A$1:$V$1,0))</f>
        <v>1.0754938387943095E-4</v>
      </c>
      <c r="T65" t="str">
        <f>IF(Q65&lt;'Cenario A ranking setor PIB'!$G$72,"N","Y")</f>
        <v>N</v>
      </c>
    </row>
    <row r="66" spans="1:20" hidden="1" x14ac:dyDescent="0.45">
      <c r="A66" s="293" t="s">
        <v>124</v>
      </c>
      <c r="B66" s="297" t="s">
        <v>6</v>
      </c>
      <c r="C66" s="297" t="s">
        <v>958</v>
      </c>
      <c r="D66" s="311">
        <v>27.093611079999999</v>
      </c>
      <c r="E66" s="311">
        <v>112.98343589</v>
      </c>
      <c r="F66" s="302">
        <f t="shared" ref="F66:F76" si="6">H66/D66-1</f>
        <v>3.1701135945441496</v>
      </c>
      <c r="G66" s="311">
        <v>44.434672370000001</v>
      </c>
      <c r="H66" s="311">
        <v>112.98343589</v>
      </c>
      <c r="I66" s="302">
        <f t="shared" ref="I66:I97" si="7">H66/G66-1</f>
        <v>1.5426863722366631</v>
      </c>
      <c r="J66" s="311">
        <v>136.37818966</v>
      </c>
      <c r="K66" s="311">
        <v>174.34997615</v>
      </c>
      <c r="L66" s="311">
        <v>205.55856452</v>
      </c>
      <c r="M66" s="312">
        <v>292.01559343000002</v>
      </c>
      <c r="N66" t="str">
        <f t="shared" ref="N66:N76" si="8">A66&amp;B66</f>
        <v>BangladeshManufacture of machinery and equipment n.e.c. (C28)</v>
      </c>
      <c r="O66" s="11">
        <f>INDEX('Base de dados IHS'!$A$1:$V$676,MATCH($N66,'Base de dados IHS'!$C$1:$C$676,0),MATCH($O$1,'Base de dados IHS'!$A$1:$V$1,0))</f>
        <v>264392.25455249997</v>
      </c>
      <c r="P66" s="11">
        <f>INDEX('Base de dados IHS'!$A$1:$V$676,MATCH($N66,'Base de dados IHS'!$C$1:$C$676,0),MATCH($P$1,'Base de dados IHS'!$A$1:$V$1,0))</f>
        <v>386628.84638325998</v>
      </c>
      <c r="Q66" s="131">
        <f>INDEX('Base de dados IHS'!$A$1:$V$676,MATCH($N66,'Base de dados IHS'!$C$1:$C$676,0),MATCH($Q$1,'Base de dados IHS'!$A$1:$V$1,0))</f>
        <v>1.6806344212014982E-4</v>
      </c>
      <c r="R66" s="131">
        <f>INDEX('Base de dados IHS'!$A$1:$V$676,MATCH($N66,'Base de dados IHS'!$C$1:$C$676,0),MATCH($R$1,'Base de dados IHS'!$A$1:$V$1,0))</f>
        <v>2.9222712414479551E-4</v>
      </c>
      <c r="S66" s="131">
        <f>INDEX('Base de dados IHS'!$A$1:$V$676,MATCH($N66,'Base de dados IHS'!$C$1:$C$676,0),MATCH($S$1,'Base de dados IHS'!$A$1:$V$1,0))</f>
        <v>1.2416368202464569E-4</v>
      </c>
      <c r="T66" t="str">
        <f>IF(Q66&lt;'Cenario A ranking setor PIB'!$G$72,"N","Y")</f>
        <v>N</v>
      </c>
    </row>
    <row r="67" spans="1:20" hidden="1" x14ac:dyDescent="0.45">
      <c r="A67" s="293" t="s">
        <v>158</v>
      </c>
      <c r="B67" s="297" t="s">
        <v>6</v>
      </c>
      <c r="C67" s="297" t="s">
        <v>958</v>
      </c>
      <c r="D67" s="311">
        <v>13.101358080000001</v>
      </c>
      <c r="E67" s="311">
        <v>18.054075189999999</v>
      </c>
      <c r="F67" s="302">
        <f t="shared" si="6"/>
        <v>0.37803081785548742</v>
      </c>
      <c r="G67" s="311">
        <v>14.544592529999999</v>
      </c>
      <c r="H67" s="311">
        <v>18.054075189999999</v>
      </c>
      <c r="I67" s="302">
        <f t="shared" si="7"/>
        <v>0.24129123265304697</v>
      </c>
      <c r="J67" s="311">
        <v>21.139142100000001</v>
      </c>
      <c r="K67" s="311">
        <v>25.17395441</v>
      </c>
      <c r="L67" s="311">
        <v>28.727920520000001</v>
      </c>
      <c r="M67" s="312">
        <v>39.306058329999999</v>
      </c>
      <c r="N67" t="str">
        <f t="shared" si="8"/>
        <v>GhanaManufacture of machinery and equipment n.e.c. (C28)</v>
      </c>
      <c r="O67" s="11">
        <f>INDEX('Base de dados IHS'!$A$1:$V$676,MATCH($N67,'Base de dados IHS'!$C$1:$C$676,0),MATCH($O$1,'Base de dados IHS'!$A$1:$V$1,0))</f>
        <v>54050.698328470004</v>
      </c>
      <c r="P67" s="11">
        <f>INDEX('Base de dados IHS'!$A$1:$V$676,MATCH($N67,'Base de dados IHS'!$C$1:$C$676,0),MATCH($P$1,'Base de dados IHS'!$A$1:$V$1,0))</f>
        <v>72367.878986030002</v>
      </c>
      <c r="Q67" s="131">
        <f>INDEX('Base de dados IHS'!$A$1:$V$676,MATCH($N67,'Base de dados IHS'!$C$1:$C$676,0),MATCH($Q$1,'Base de dados IHS'!$A$1:$V$1,0))</f>
        <v>2.690916672641574E-4</v>
      </c>
      <c r="R67" s="131">
        <f>INDEX('Base de dados IHS'!$A$1:$V$676,MATCH($N67,'Base de dados IHS'!$C$1:$C$676,0),MATCH($R$1,'Base de dados IHS'!$A$1:$V$1,0))</f>
        <v>2.4947636220601658E-4</v>
      </c>
      <c r="S67" s="131">
        <f>INDEX('Base de dados IHS'!$A$1:$V$676,MATCH($N67,'Base de dados IHS'!$C$1:$C$676,0),MATCH($S$1,'Base de dados IHS'!$A$1:$V$1,0))</f>
        <v>-1.9615305058140811E-5</v>
      </c>
      <c r="T67" t="str">
        <f>IF(Q67&lt;'Cenario A ranking setor PIB'!$G$72,"N","Y")</f>
        <v>N</v>
      </c>
    </row>
    <row r="68" spans="1:20" hidden="1" x14ac:dyDescent="0.45">
      <c r="A68" s="293" t="s">
        <v>174</v>
      </c>
      <c r="B68" s="297" t="s">
        <v>6</v>
      </c>
      <c r="C68" s="297" t="s">
        <v>958</v>
      </c>
      <c r="D68" s="311">
        <v>11.34242587</v>
      </c>
      <c r="E68" s="311">
        <v>17.165683170000001</v>
      </c>
      <c r="F68" s="302">
        <f t="shared" si="6"/>
        <v>0.51340492472621313</v>
      </c>
      <c r="G68" s="311">
        <v>11.946279710000001</v>
      </c>
      <c r="H68" s="311">
        <v>17.165683170000001</v>
      </c>
      <c r="I68" s="302">
        <f t="shared" si="7"/>
        <v>0.43690618223436872</v>
      </c>
      <c r="J68" s="311">
        <v>15.152611289999999</v>
      </c>
      <c r="K68" s="311">
        <v>17.22641295</v>
      </c>
      <c r="L68" s="311">
        <v>18.998939750000002</v>
      </c>
      <c r="M68" s="312">
        <v>23.512166069999999</v>
      </c>
      <c r="N68" t="str">
        <f t="shared" si="8"/>
        <v>Sri LankaManufacture of machinery and equipment n.e.c. (C28)</v>
      </c>
      <c r="O68" s="11">
        <f>INDEX('Base de dados IHS'!$A$1:$V$676,MATCH($N68,'Base de dados IHS'!$C$1:$C$676,0),MATCH($O$1,'Base de dados IHS'!$A$1:$V$1,0))</f>
        <v>77969.257644440004</v>
      </c>
      <c r="P68" s="11">
        <f>INDEX('Base de dados IHS'!$A$1:$V$676,MATCH($N68,'Base de dados IHS'!$C$1:$C$676,0),MATCH($P$1,'Base de dados IHS'!$A$1:$V$1,0))</f>
        <v>87884.425158479993</v>
      </c>
      <c r="Q68" s="131">
        <f>INDEX('Base de dados IHS'!$A$1:$V$676,MATCH($N68,'Base de dados IHS'!$C$1:$C$676,0),MATCH($Q$1,'Base de dados IHS'!$A$1:$V$1,0))</f>
        <v>1.5321782034244996E-4</v>
      </c>
      <c r="R68" s="131">
        <f>INDEX('Base de dados IHS'!$A$1:$V$676,MATCH($N68,'Base de dados IHS'!$C$1:$C$676,0),MATCH($R$1,'Base de dados IHS'!$A$1:$V$1,0))</f>
        <v>1.9532110654470929E-4</v>
      </c>
      <c r="S68" s="131">
        <f>INDEX('Base de dados IHS'!$A$1:$V$676,MATCH($N68,'Base de dados IHS'!$C$1:$C$676,0),MATCH($S$1,'Base de dados IHS'!$A$1:$V$1,0))</f>
        <v>4.2103286202259334E-5</v>
      </c>
      <c r="T68" t="str">
        <f>IF(Q68&lt;'Cenario A ranking setor PIB'!$G$72,"N","Y")</f>
        <v>N</v>
      </c>
    </row>
    <row r="69" spans="1:20" hidden="1" x14ac:dyDescent="0.45">
      <c r="A69" s="293" t="s">
        <v>171</v>
      </c>
      <c r="B69" s="297" t="s">
        <v>6</v>
      </c>
      <c r="C69" s="297" t="s">
        <v>958</v>
      </c>
      <c r="D69" s="311">
        <v>5.6620143900000004</v>
      </c>
      <c r="E69" s="311">
        <v>7.4311342600000003</v>
      </c>
      <c r="F69" s="302">
        <f t="shared" si="6"/>
        <v>0.31245414584684572</v>
      </c>
      <c r="G69" s="311">
        <v>6.5466294200000004</v>
      </c>
      <c r="H69" s="311">
        <v>7.4311342600000003</v>
      </c>
      <c r="I69" s="302">
        <f t="shared" si="7"/>
        <v>0.13510843263830252</v>
      </c>
      <c r="J69" s="311">
        <v>8.7167732900000008</v>
      </c>
      <c r="K69" s="311">
        <v>9.8917165300000001</v>
      </c>
      <c r="L69" s="311">
        <v>10.66631271</v>
      </c>
      <c r="M69" s="312">
        <v>12.673299269999999</v>
      </c>
      <c r="N69" t="str">
        <f t="shared" si="8"/>
        <v>CameroonManufacture of machinery and equipment n.e.c. (C28)</v>
      </c>
      <c r="O69" s="11">
        <f>INDEX('Base de dados IHS'!$A$1:$V$676,MATCH($N69,'Base de dados IHS'!$C$1:$C$676,0),MATCH($O$1,'Base de dados IHS'!$A$1:$V$1,0))</f>
        <v>34069.891642009999</v>
      </c>
      <c r="P69" s="11">
        <f>INDEX('Base de dados IHS'!$A$1:$V$676,MATCH($N69,'Base de dados IHS'!$C$1:$C$676,0),MATCH($P$1,'Base de dados IHS'!$A$1:$V$1,0))</f>
        <v>41316.84413338</v>
      </c>
      <c r="Q69" s="131">
        <f>INDEX('Base de dados IHS'!$A$1:$V$676,MATCH($N69,'Base de dados IHS'!$C$1:$C$676,0),MATCH($Q$1,'Base de dados IHS'!$A$1:$V$1,0))</f>
        <v>1.9215292754050489E-4</v>
      </c>
      <c r="R69" s="131">
        <f>INDEX('Base de dados IHS'!$A$1:$V$676,MATCH($N69,'Base de dados IHS'!$C$1:$C$676,0),MATCH($R$1,'Base de dados IHS'!$A$1:$V$1,0))</f>
        <v>1.798572571518444E-4</v>
      </c>
      <c r="S69" s="131">
        <f>INDEX('Base de dados IHS'!$A$1:$V$676,MATCH($N69,'Base de dados IHS'!$C$1:$C$676,0),MATCH($S$1,'Base de dados IHS'!$A$1:$V$1,0))</f>
        <v>-1.2295670388660495E-5</v>
      </c>
      <c r="T69" t="str">
        <f>IF(Q69&lt;'Cenario A ranking setor PIB'!$G$72,"N","Y")</f>
        <v>N</v>
      </c>
    </row>
    <row r="70" spans="1:20" hidden="1" x14ac:dyDescent="0.45">
      <c r="A70" s="293" t="s">
        <v>175</v>
      </c>
      <c r="B70" s="297" t="s">
        <v>6</v>
      </c>
      <c r="C70" s="297" t="s">
        <v>958</v>
      </c>
      <c r="D70" s="311">
        <v>16.636916320000001</v>
      </c>
      <c r="E70" s="311">
        <v>15.816785640000001</v>
      </c>
      <c r="F70" s="302">
        <f t="shared" si="6"/>
        <v>-4.9295834890633161E-2</v>
      </c>
      <c r="G70" s="311">
        <v>60.128290409999998</v>
      </c>
      <c r="H70" s="311">
        <v>15.816785640000001</v>
      </c>
      <c r="I70" s="302">
        <f t="shared" si="7"/>
        <v>-0.7369493539206049</v>
      </c>
      <c r="J70" s="311">
        <v>21.769203480000002</v>
      </c>
      <c r="K70" s="311">
        <v>29.82936707</v>
      </c>
      <c r="L70" s="311">
        <v>37.595330490000002</v>
      </c>
      <c r="M70" s="312">
        <v>62.236215540000003</v>
      </c>
      <c r="N70" t="str">
        <f t="shared" si="8"/>
        <v>KenyaManufacture of machinery and equipment n.e.c. (C28)</v>
      </c>
      <c r="O70" s="11">
        <f>INDEX('Base de dados IHS'!$A$1:$V$676,MATCH($N70,'Base de dados IHS'!$C$1:$C$676,0),MATCH($O$1,'Base de dados IHS'!$A$1:$V$1,0))</f>
        <v>83525.195225389994</v>
      </c>
      <c r="P70" s="11">
        <f>INDEX('Base de dados IHS'!$A$1:$V$676,MATCH($N70,'Base de dados IHS'!$C$1:$C$676,0),MATCH($P$1,'Base de dados IHS'!$A$1:$V$1,0))</f>
        <v>107697.99713524</v>
      </c>
      <c r="Q70" s="131">
        <f>INDEX('Base de dados IHS'!$A$1:$V$676,MATCH($N70,'Base de dados IHS'!$C$1:$C$676,0),MATCH($Q$1,'Base de dados IHS'!$A$1:$V$1,0))</f>
        <v>7.1988206968862252E-4</v>
      </c>
      <c r="R70" s="131">
        <f>INDEX('Base de dados IHS'!$A$1:$V$676,MATCH($N70,'Base de dados IHS'!$C$1:$C$676,0),MATCH($R$1,'Base de dados IHS'!$A$1:$V$1,0))</f>
        <v>1.4686239355164916E-4</v>
      </c>
      <c r="S70" s="131">
        <f>INDEX('Base de dados IHS'!$A$1:$V$676,MATCH($N70,'Base de dados IHS'!$C$1:$C$676,0),MATCH($S$1,'Base de dados IHS'!$A$1:$V$1,0))</f>
        <v>-5.7301967613697337E-4</v>
      </c>
      <c r="T70" t="str">
        <f>IF(Q70&lt;'Cenario A ranking setor PIB'!$G$72,"N","Y")</f>
        <v>N</v>
      </c>
    </row>
    <row r="71" spans="1:20" hidden="1" x14ac:dyDescent="0.45">
      <c r="A71" s="293" t="s">
        <v>155</v>
      </c>
      <c r="B71" s="297" t="s">
        <v>6</v>
      </c>
      <c r="C71" s="297" t="s">
        <v>958</v>
      </c>
      <c r="D71" s="311">
        <v>13.096036270000001</v>
      </c>
      <c r="E71" s="311">
        <v>18.975933879999999</v>
      </c>
      <c r="F71" s="302">
        <f t="shared" si="6"/>
        <v>0.44898299674608322</v>
      </c>
      <c r="G71" s="311">
        <v>17.428218170000001</v>
      </c>
      <c r="H71" s="311">
        <v>18.975933879999999</v>
      </c>
      <c r="I71" s="302">
        <f t="shared" si="7"/>
        <v>8.8805160395808658E-2</v>
      </c>
      <c r="J71" s="311">
        <v>23.18598184</v>
      </c>
      <c r="K71" s="311">
        <v>26.45385993</v>
      </c>
      <c r="L71" s="311">
        <v>27.988695419999999</v>
      </c>
      <c r="M71" s="312">
        <v>31.001925320000002</v>
      </c>
      <c r="N71" t="str">
        <f t="shared" si="8"/>
        <v>QatarManufacture of machinery and equipment n.e.c. (C28)</v>
      </c>
      <c r="O71" s="11">
        <f>INDEX('Base de dados IHS'!$A$1:$V$676,MATCH($N71,'Base de dados IHS'!$C$1:$C$676,0),MATCH($O$1,'Base de dados IHS'!$A$1:$V$1,0))</f>
        <v>170576.82347613</v>
      </c>
      <c r="P71" s="11">
        <f>INDEX('Base de dados IHS'!$A$1:$V$676,MATCH($N71,'Base de dados IHS'!$C$1:$C$676,0),MATCH($P$1,'Base de dados IHS'!$A$1:$V$1,0))</f>
        <v>172715.39534024999</v>
      </c>
      <c r="Q71" s="131">
        <f>INDEX('Base de dados IHS'!$A$1:$V$676,MATCH($N71,'Base de dados IHS'!$C$1:$C$676,0),MATCH($Q$1,'Base de dados IHS'!$A$1:$V$1,0))</f>
        <v>1.0217225186186476E-4</v>
      </c>
      <c r="R71" s="131">
        <f>INDEX('Base de dados IHS'!$A$1:$V$676,MATCH($N71,'Base de dados IHS'!$C$1:$C$676,0),MATCH($R$1,'Base de dados IHS'!$A$1:$V$1,0))</f>
        <v>1.0986822479036879E-4</v>
      </c>
      <c r="S71" s="131">
        <f>INDEX('Base de dados IHS'!$A$1:$V$676,MATCH($N71,'Base de dados IHS'!$C$1:$C$676,0),MATCH($S$1,'Base de dados IHS'!$A$1:$V$1,0))</f>
        <v>7.6959729285040241E-6</v>
      </c>
      <c r="T71" t="str">
        <f>IF(Q71&lt;'Cenario A ranking setor PIB'!$G$72,"N","Y")</f>
        <v>N</v>
      </c>
    </row>
    <row r="72" spans="1:20" hidden="1" x14ac:dyDescent="0.45">
      <c r="A72" s="293" t="s">
        <v>177</v>
      </c>
      <c r="B72" s="297" t="s">
        <v>6</v>
      </c>
      <c r="C72" s="297" t="s">
        <v>958</v>
      </c>
      <c r="D72" s="311">
        <v>3.4320267499999999</v>
      </c>
      <c r="E72" s="311">
        <v>3.8331624999999998</v>
      </c>
      <c r="F72" s="302">
        <f t="shared" si="6"/>
        <v>0.11688013503973993</v>
      </c>
      <c r="G72" s="311">
        <v>3.8182238000000002</v>
      </c>
      <c r="H72" s="311">
        <v>3.8331624999999998</v>
      </c>
      <c r="I72" s="302">
        <f t="shared" si="7"/>
        <v>3.9124736480873334E-3</v>
      </c>
      <c r="J72" s="311">
        <v>4.2355280100000003</v>
      </c>
      <c r="K72" s="311">
        <v>4.72934067</v>
      </c>
      <c r="L72" s="311">
        <v>5.1215428000000003</v>
      </c>
      <c r="M72" s="312">
        <v>6.0809184199999997</v>
      </c>
      <c r="N72" t="str">
        <f t="shared" si="8"/>
        <v>BoliviaManufacture of machinery and equipment n.e.c. (C28)</v>
      </c>
      <c r="O72" s="11">
        <f>INDEX('Base de dados IHS'!$A$1:$V$676,MATCH($N72,'Base de dados IHS'!$C$1:$C$676,0),MATCH($O$1,'Base de dados IHS'!$A$1:$V$1,0))</f>
        <v>35334.894672080001</v>
      </c>
      <c r="P72" s="11">
        <f>INDEX('Base de dados IHS'!$A$1:$V$676,MATCH($N72,'Base de dados IHS'!$C$1:$C$676,0),MATCH($P$1,'Base de dados IHS'!$A$1:$V$1,0))</f>
        <v>39600.741188879998</v>
      </c>
      <c r="Q72" s="131">
        <f>INDEX('Base de dados IHS'!$A$1:$V$676,MATCH($N72,'Base de dados IHS'!$C$1:$C$676,0),MATCH($Q$1,'Base de dados IHS'!$A$1:$V$1,0))</f>
        <v>1.0805816277179917E-4</v>
      </c>
      <c r="R72" s="131">
        <f>INDEX('Base de dados IHS'!$A$1:$V$676,MATCH($N72,'Base de dados IHS'!$C$1:$C$676,0),MATCH($R$1,'Base de dados IHS'!$A$1:$V$1,0))</f>
        <v>9.6795221122688557E-5</v>
      </c>
      <c r="S72" s="131">
        <f>INDEX('Base de dados IHS'!$A$1:$V$676,MATCH($N72,'Base de dados IHS'!$C$1:$C$676,0),MATCH($S$1,'Base de dados IHS'!$A$1:$V$1,0))</f>
        <v>-1.1262941649110617E-5</v>
      </c>
      <c r="T72" t="str">
        <f>IF(Q72&lt;'Cenario A ranking setor PIB'!$G$72,"N","Y")</f>
        <v>N</v>
      </c>
    </row>
    <row r="73" spans="1:20" hidden="1" x14ac:dyDescent="0.45">
      <c r="A73" s="293" t="s">
        <v>167</v>
      </c>
      <c r="B73" s="297" t="s">
        <v>6</v>
      </c>
      <c r="C73" s="297" t="s">
        <v>958</v>
      </c>
      <c r="D73" s="311">
        <v>32.30840456</v>
      </c>
      <c r="E73" s="311">
        <v>27.631291539999999</v>
      </c>
      <c r="F73" s="302">
        <f t="shared" si="6"/>
        <v>-0.14476459248596207</v>
      </c>
      <c r="G73" s="311">
        <v>26.4854722</v>
      </c>
      <c r="H73" s="311">
        <v>27.631291539999999</v>
      </c>
      <c r="I73" s="302">
        <f t="shared" si="7"/>
        <v>4.3262182805258842E-2</v>
      </c>
      <c r="J73" s="311">
        <v>33.474039930000004</v>
      </c>
      <c r="K73" s="311">
        <v>35.423424240000003</v>
      </c>
      <c r="L73" s="311">
        <v>36.638236759999998</v>
      </c>
      <c r="M73" s="312">
        <v>39.342912640000002</v>
      </c>
      <c r="N73" t="str">
        <f t="shared" si="8"/>
        <v>Hong Kong SARManufacture of machinery and equipment n.e.c. (C28)</v>
      </c>
      <c r="O73" s="11">
        <f>INDEX('Base de dados IHS'!$A$1:$V$676,MATCH($N73,'Base de dados IHS'!$C$1:$C$676,0),MATCH($O$1,'Base de dados IHS'!$A$1:$V$1,0))</f>
        <v>338559.97086627001</v>
      </c>
      <c r="P73" s="11">
        <f>INDEX('Base de dados IHS'!$A$1:$V$676,MATCH($N73,'Base de dados IHS'!$C$1:$C$676,0),MATCH($P$1,'Base de dados IHS'!$A$1:$V$1,0))</f>
        <v>361197.76240428002</v>
      </c>
      <c r="Q73" s="131">
        <f>INDEX('Base de dados IHS'!$A$1:$V$676,MATCH($N73,'Base de dados IHS'!$C$1:$C$676,0),MATCH($Q$1,'Base de dados IHS'!$A$1:$V$1,0))</f>
        <v>7.8229780479457999E-5</v>
      </c>
      <c r="R73" s="131">
        <f>INDEX('Base de dados IHS'!$A$1:$V$676,MATCH($N73,'Base de dados IHS'!$C$1:$C$676,0),MATCH($R$1,'Base de dados IHS'!$A$1:$V$1,0))</f>
        <v>7.6499066207040773E-5</v>
      </c>
      <c r="S73" s="131">
        <f>INDEX('Base de dados IHS'!$A$1:$V$676,MATCH($N73,'Base de dados IHS'!$C$1:$C$676,0),MATCH($S$1,'Base de dados IHS'!$A$1:$V$1,0))</f>
        <v>-1.7307142724172259E-6</v>
      </c>
      <c r="T73" t="str">
        <f>IF(Q73&lt;'Cenario A ranking setor PIB'!$G$72,"N","Y")</f>
        <v>N</v>
      </c>
    </row>
    <row r="74" spans="1:20" hidden="1" x14ac:dyDescent="0.45">
      <c r="A74" s="293" t="s">
        <v>102</v>
      </c>
      <c r="B74" s="297" t="s">
        <v>6</v>
      </c>
      <c r="C74" s="297" t="s">
        <v>958</v>
      </c>
      <c r="D74" s="311">
        <v>18.019784219999998</v>
      </c>
      <c r="E74" s="311">
        <v>31.119576930000001</v>
      </c>
      <c r="F74" s="302">
        <f t="shared" si="6"/>
        <v>0.72696723501609184</v>
      </c>
      <c r="G74" s="311">
        <v>29.919195779999999</v>
      </c>
      <c r="H74" s="311">
        <v>31.119576930000001</v>
      </c>
      <c r="I74" s="302">
        <f t="shared" si="7"/>
        <v>4.01207692488319E-2</v>
      </c>
      <c r="J74" s="311">
        <v>35.859737459999998</v>
      </c>
      <c r="K74" s="311">
        <v>40.707486449999998</v>
      </c>
      <c r="L74" s="311">
        <v>44.97287592</v>
      </c>
      <c r="M74" s="312">
        <v>55.238085900000002</v>
      </c>
      <c r="N74" t="str">
        <f t="shared" si="8"/>
        <v>NigeriaManufacture of machinery and equipment n.e.c. (C28)</v>
      </c>
      <c r="O74" s="11">
        <f>INDEX('Base de dados IHS'!$A$1:$V$676,MATCH($N74,'Base de dados IHS'!$C$1:$C$676,0),MATCH($O$1,'Base de dados IHS'!$A$1:$V$1,0))</f>
        <v>460034.71302222001</v>
      </c>
      <c r="P74" s="11">
        <f>INDEX('Base de dados IHS'!$A$1:$V$676,MATCH($N74,'Base de dados IHS'!$C$1:$C$676,0),MATCH($P$1,'Base de dados IHS'!$A$1:$V$1,0))</f>
        <v>483780.49839321</v>
      </c>
      <c r="Q74" s="131">
        <f>INDEX('Base de dados IHS'!$A$1:$V$676,MATCH($N74,'Base de dados IHS'!$C$1:$C$676,0),MATCH($Q$1,'Base de dados IHS'!$A$1:$V$1,0))</f>
        <v>6.5036822076848102E-5</v>
      </c>
      <c r="R74" s="131">
        <f>INDEX('Base de dados IHS'!$A$1:$V$676,MATCH($N74,'Base de dados IHS'!$C$1:$C$676,0),MATCH($R$1,'Base de dados IHS'!$A$1:$V$1,0))</f>
        <v>6.4325819319625496E-5</v>
      </c>
      <c r="S74" s="131">
        <f>INDEX('Base de dados IHS'!$A$1:$V$676,MATCH($N74,'Base de dados IHS'!$C$1:$C$676,0),MATCH($S$1,'Base de dados IHS'!$A$1:$V$1,0))</f>
        <v>-7.1100275722260555E-7</v>
      </c>
      <c r="T74" t="str">
        <f>IF(Q74&lt;'Cenario A ranking setor PIB'!$G$72,"N","Y")</f>
        <v>N</v>
      </c>
    </row>
    <row r="75" spans="1:20" hidden="1" x14ac:dyDescent="0.45">
      <c r="A75" s="293" t="s">
        <v>178</v>
      </c>
      <c r="B75" s="297" t="s">
        <v>6</v>
      </c>
      <c r="C75" s="297" t="s">
        <v>958</v>
      </c>
      <c r="D75" s="311">
        <v>0.29146694000000001</v>
      </c>
      <c r="E75" s="311">
        <v>0.35863133000000003</v>
      </c>
      <c r="F75" s="302">
        <f t="shared" si="6"/>
        <v>0.23043570567557348</v>
      </c>
      <c r="G75" s="311">
        <v>0.28549558000000003</v>
      </c>
      <c r="H75" s="311">
        <v>0.35863133000000003</v>
      </c>
      <c r="I75" s="302">
        <f t="shared" si="7"/>
        <v>0.25617121638100304</v>
      </c>
      <c r="J75" s="311">
        <v>0.48005028</v>
      </c>
      <c r="K75" s="311">
        <v>0.58996976000000001</v>
      </c>
      <c r="L75" s="311">
        <v>0.68328758000000001</v>
      </c>
      <c r="M75" s="312">
        <v>0.95319211000000004</v>
      </c>
      <c r="N75" t="str">
        <f t="shared" si="8"/>
        <v>SenegalManufacture of machinery and equipment n.e.c. (C28)</v>
      </c>
      <c r="O75" s="11">
        <f>INDEX('Base de dados IHS'!$A$1:$V$676,MATCH($N75,'Base de dados IHS'!$C$1:$C$676,0),MATCH($O$1,'Base de dados IHS'!$A$1:$V$1,0))</f>
        <v>18437.455260710001</v>
      </c>
      <c r="P75" s="11">
        <f>INDEX('Base de dados IHS'!$A$1:$V$676,MATCH($N75,'Base de dados IHS'!$C$1:$C$676,0),MATCH($P$1,'Base de dados IHS'!$A$1:$V$1,0))</f>
        <v>25150.80803964</v>
      </c>
      <c r="Q75" s="131">
        <f>INDEX('Base de dados IHS'!$A$1:$V$676,MATCH($N75,'Base de dados IHS'!$C$1:$C$676,0),MATCH($Q$1,'Base de dados IHS'!$A$1:$V$1,0))</f>
        <v>1.548454360772811E-5</v>
      </c>
      <c r="R75" s="131">
        <f>INDEX('Base de dados IHS'!$A$1:$V$676,MATCH($N75,'Base de dados IHS'!$C$1:$C$676,0),MATCH($R$1,'Base de dados IHS'!$A$1:$V$1,0))</f>
        <v>1.4259236897469213E-5</v>
      </c>
      <c r="S75" s="131">
        <f>INDEX('Base de dados IHS'!$A$1:$V$676,MATCH($N75,'Base de dados IHS'!$C$1:$C$676,0),MATCH($S$1,'Base de dados IHS'!$A$1:$V$1,0))</f>
        <v>-1.2253067102588964E-6</v>
      </c>
      <c r="T75" t="str">
        <f>IF(Q75&lt;'Cenario A ranking setor PIB'!$G$72,"N","Y")</f>
        <v>N</v>
      </c>
    </row>
    <row r="76" spans="1:20" hidden="1" x14ac:dyDescent="0.45">
      <c r="A76" s="293" t="s">
        <v>173</v>
      </c>
      <c r="B76" s="297" t="s">
        <v>6</v>
      </c>
      <c r="C76" s="297" t="s">
        <v>958</v>
      </c>
      <c r="D76" s="311">
        <v>0.47837575999999998</v>
      </c>
      <c r="E76" s="311">
        <v>0.79017221999999998</v>
      </c>
      <c r="F76" s="302">
        <f t="shared" si="6"/>
        <v>0.65178147822540167</v>
      </c>
      <c r="G76" s="311">
        <v>0.78736430999999996</v>
      </c>
      <c r="H76" s="311">
        <v>0.79017221999999998</v>
      </c>
      <c r="I76" s="302">
        <f t="shared" si="7"/>
        <v>3.5662144757362402E-3</v>
      </c>
      <c r="J76" s="311">
        <v>0.84999223999999995</v>
      </c>
      <c r="K76" s="311">
        <v>0.92129771999999999</v>
      </c>
      <c r="L76" s="311">
        <v>0.97858975000000004</v>
      </c>
      <c r="M76" s="312">
        <v>1.1179624699999999</v>
      </c>
      <c r="N76" t="str">
        <f t="shared" si="8"/>
        <v>PanamaManufacture of machinery and equipment n.e.c. (C28)</v>
      </c>
      <c r="O76" s="11">
        <f>INDEX('Base de dados IHS'!$A$1:$V$676,MATCH($N76,'Base de dados IHS'!$C$1:$C$676,0),MATCH($O$1,'Base de dados IHS'!$A$1:$V$1,0))</f>
        <v>58921.61186117</v>
      </c>
      <c r="P76" s="11">
        <f>INDEX('Base de dados IHS'!$A$1:$V$676,MATCH($N76,'Base de dados IHS'!$C$1:$C$676,0),MATCH($P$1,'Base de dados IHS'!$A$1:$V$1,0))</f>
        <v>65983.988595749994</v>
      </c>
      <c r="Q76" s="131">
        <f>INDEX('Base de dados IHS'!$A$1:$V$676,MATCH($N76,'Base de dados IHS'!$C$1:$C$676,0),MATCH($Q$1,'Base de dados IHS'!$A$1:$V$1,0))</f>
        <v>1.3362911928736318E-5</v>
      </c>
      <c r="R76" s="131">
        <f>INDEX('Base de dados IHS'!$A$1:$V$676,MATCH($N76,'Base de dados IHS'!$C$1:$C$676,0),MATCH($R$1,'Base de dados IHS'!$A$1:$V$1,0))</f>
        <v>1.1975211514432377E-5</v>
      </c>
      <c r="S76" s="131">
        <f>INDEX('Base de dados IHS'!$A$1:$V$676,MATCH($N76,'Base de dados IHS'!$C$1:$C$676,0),MATCH($S$1,'Base de dados IHS'!$A$1:$V$1,0))</f>
        <v>-1.3877004143039403E-6</v>
      </c>
      <c r="T76" t="str">
        <f>IF(Q76&lt;'Cenario A ranking setor PIB'!$G$72,"N","Y")</f>
        <v>N</v>
      </c>
    </row>
  </sheetData>
  <autoFilter ref="A1:T76" xr:uid="{433B5FC1-8669-41DF-855D-3DDAA7EA06EC}">
    <filterColumn colId="19">
      <filters>
        <filter val="Y"/>
      </filters>
    </filterColumn>
    <sortState xmlns:xlrd2="http://schemas.microsoft.com/office/spreadsheetml/2017/richdata2" ref="A2:T35">
      <sortCondition descending="1" ref="S1:S76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5E13-DB6E-45B4-8CEC-8C7D087F7F6E}">
  <sheetPr filterMode="1">
    <tabColor theme="4" tint="-0.249977111117893"/>
  </sheetPr>
  <dimension ref="A1:T76"/>
  <sheetViews>
    <sheetView workbookViewId="0"/>
  </sheetViews>
  <sheetFormatPr defaultColWidth="8.86328125" defaultRowHeight="14.25" x14ac:dyDescent="0.45"/>
  <sheetData>
    <row r="1" spans="1:20" x14ac:dyDescent="0.4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933</v>
      </c>
      <c r="O1" s="334" t="s">
        <v>928</v>
      </c>
      <c r="P1" s="334" t="s">
        <v>929</v>
      </c>
      <c r="Q1" s="334" t="s">
        <v>930</v>
      </c>
      <c r="R1" s="334" t="s">
        <v>931</v>
      </c>
      <c r="S1" s="334" t="s">
        <v>932</v>
      </c>
      <c r="T1" s="334" t="s">
        <v>1057</v>
      </c>
    </row>
    <row r="2" spans="1:20" x14ac:dyDescent="0.45">
      <c r="A2" s="293" t="s">
        <v>907</v>
      </c>
      <c r="B2" s="297" t="s">
        <v>5</v>
      </c>
      <c r="C2" s="297" t="s">
        <v>958</v>
      </c>
      <c r="D2" s="311">
        <v>137311.92838910999</v>
      </c>
      <c r="E2" s="311">
        <v>375967.60295452003</v>
      </c>
      <c r="F2" s="302">
        <f t="shared" ref="F2:F33" si="0">H2/D2-1</f>
        <v>1.7380549335023212</v>
      </c>
      <c r="G2" s="311">
        <v>206856.22806317999</v>
      </c>
      <c r="H2" s="311">
        <v>375967.60295452003</v>
      </c>
      <c r="I2" s="302">
        <f t="shared" ref="I2:I33" si="1">H2/G2-1</f>
        <v>0.81753098021147541</v>
      </c>
      <c r="J2" s="311">
        <v>558855.35929923004</v>
      </c>
      <c r="K2" s="311">
        <v>701345.47855362995</v>
      </c>
      <c r="L2" s="311">
        <v>816631.89176804002</v>
      </c>
      <c r="M2" s="312">
        <v>1112168.3174705</v>
      </c>
      <c r="N2" t="str">
        <f t="shared" ref="N2:N33" si="2">A2&amp;B2</f>
        <v>ChinaManufacture of electrical equipment (C27)</v>
      </c>
      <c r="O2" s="11">
        <f>INDEX('Base de dados IHS'!$A$1:$V$676,MATCH($N2,'Base de dados IHS'!$C$1:$C$676,0),MATCH($O$1,'Base de dados IHS'!$A$1:$V$1,0))</f>
        <v>11048064.947659001</v>
      </c>
      <c r="P2" s="11">
        <f>INDEX('Base de dados IHS'!$A$1:$V$676,MATCH($N2,'Base de dados IHS'!$C$1:$C$676,0),MATCH($P$1,'Base de dados IHS'!$A$1:$V$1,0))</f>
        <v>15827750.501527</v>
      </c>
      <c r="Q2" s="131">
        <f>INDEX('Base de dados IHS'!$A$1:$V$676,MATCH($N2,'Base de dados IHS'!$C$1:$C$676,0),MATCH($Q$1,'Base de dados IHS'!$A$1:$V$1,0))</f>
        <v>1.8723299423308623E-2</v>
      </c>
      <c r="R2" s="131">
        <f>INDEX('Base de dados IHS'!$A$1:$V$676,MATCH($N2,'Base de dados IHS'!$C$1:$C$676,0),MATCH($R$1,'Base de dados IHS'!$A$1:$V$1,0))</f>
        <v>2.3753697843433161E-2</v>
      </c>
      <c r="S2" s="131">
        <f>INDEX('Base de dados IHS'!$A$1:$V$676,MATCH($N2,'Base de dados IHS'!$C$1:$C$676,0),MATCH($S$1,'Base de dados IHS'!$A$1:$V$1,0))</f>
        <v>5.0303984201245378E-3</v>
      </c>
      <c r="T2" t="str">
        <f>IF(Q2&lt;'Cenario A ranking setor PIB'!$G$86,"N","Y")</f>
        <v>Y</v>
      </c>
    </row>
    <row r="3" spans="1:20" x14ac:dyDescent="0.45">
      <c r="A3" s="293" t="s">
        <v>113</v>
      </c>
      <c r="B3" s="297" t="s">
        <v>5</v>
      </c>
      <c r="C3" s="297" t="s">
        <v>958</v>
      </c>
      <c r="D3" s="311">
        <v>1049.36223795</v>
      </c>
      <c r="E3" s="311">
        <v>1882.24108914</v>
      </c>
      <c r="F3" s="302">
        <f t="shared" si="0"/>
        <v>0.79370004090969104</v>
      </c>
      <c r="G3" s="311">
        <v>1042.2348284499999</v>
      </c>
      <c r="H3" s="311">
        <v>1882.24108914</v>
      </c>
      <c r="I3" s="302">
        <f t="shared" si="1"/>
        <v>0.80596640772334216</v>
      </c>
      <c r="J3" s="311">
        <v>2917.6782163500002</v>
      </c>
      <c r="K3" s="311">
        <v>3381.40309015</v>
      </c>
      <c r="L3" s="311">
        <v>3683.0362678699998</v>
      </c>
      <c r="M3" s="312">
        <v>4496.0309177600002</v>
      </c>
      <c r="N3" t="str">
        <f t="shared" si="2"/>
        <v>HungaryManufacture of electrical equipment (C27)</v>
      </c>
      <c r="O3" s="11">
        <f>INDEX('Base de dados IHS'!$A$1:$V$676,MATCH($N3,'Base de dados IHS'!$C$1:$C$676,0),MATCH($O$1,'Base de dados IHS'!$A$1:$V$1,0))</f>
        <v>139098.07965294999</v>
      </c>
      <c r="P3" s="11">
        <f>INDEX('Base de dados IHS'!$A$1:$V$676,MATCH($N3,'Base de dados IHS'!$C$1:$C$676,0),MATCH($P$1,'Base de dados IHS'!$A$1:$V$1,0))</f>
        <v>167320.49519441</v>
      </c>
      <c r="Q3" s="131">
        <f>INDEX('Base de dados IHS'!$A$1:$V$676,MATCH($N3,'Base de dados IHS'!$C$1:$C$676,0),MATCH($Q$1,'Base de dados IHS'!$A$1:$V$1,0))</f>
        <v>7.4928053000471182E-3</v>
      </c>
      <c r="R3" s="131">
        <f>INDEX('Base de dados IHS'!$A$1:$V$676,MATCH($N3,'Base de dados IHS'!$C$1:$C$676,0),MATCH($R$1,'Base de dados IHS'!$A$1:$V$1,0))</f>
        <v>1.1249315793340323E-2</v>
      </c>
      <c r="S3" s="131">
        <f>INDEX('Base de dados IHS'!$A$1:$V$676,MATCH($N3,'Base de dados IHS'!$C$1:$C$676,0),MATCH($S$1,'Base de dados IHS'!$A$1:$V$1,0))</f>
        <v>3.7565104932932051E-3</v>
      </c>
      <c r="T3" t="str">
        <f>IF(Q3&lt;'Cenario A ranking setor PIB'!$G$86,"N","Y")</f>
        <v>Y</v>
      </c>
    </row>
    <row r="4" spans="1:20" x14ac:dyDescent="0.45">
      <c r="A4" s="293" t="s">
        <v>160</v>
      </c>
      <c r="B4" s="297" t="s">
        <v>5</v>
      </c>
      <c r="C4" s="297" t="s">
        <v>958</v>
      </c>
      <c r="D4" s="311">
        <v>349.28478934999998</v>
      </c>
      <c r="E4" s="311">
        <v>653.65023574999998</v>
      </c>
      <c r="F4" s="302">
        <f t="shared" si="0"/>
        <v>0.87139622359853552</v>
      </c>
      <c r="G4" s="311">
        <v>396.76301967000001</v>
      </c>
      <c r="H4" s="311">
        <v>653.65023574999998</v>
      </c>
      <c r="I4" s="302">
        <f t="shared" si="1"/>
        <v>0.64745755865468757</v>
      </c>
      <c r="J4" s="311">
        <v>822.04050554000003</v>
      </c>
      <c r="K4" s="311">
        <v>898.72960473000001</v>
      </c>
      <c r="L4" s="311">
        <v>942.09309445999997</v>
      </c>
      <c r="M4" s="312">
        <v>1029.84550629</v>
      </c>
      <c r="N4" t="str">
        <f t="shared" si="2"/>
        <v>BulgariaManufacture of electrical equipment (C27)</v>
      </c>
      <c r="O4" s="11">
        <f>INDEX('Base de dados IHS'!$A$1:$V$676,MATCH($N4,'Base de dados IHS'!$C$1:$C$676,0),MATCH($O$1,'Base de dados IHS'!$A$1:$V$1,0))</f>
        <v>60854.013563</v>
      </c>
      <c r="P4" s="11">
        <f>INDEX('Base de dados IHS'!$A$1:$V$676,MATCH($N4,'Base de dados IHS'!$C$1:$C$676,0),MATCH($P$1,'Base de dados IHS'!$A$1:$V$1,0))</f>
        <v>70836.911882080007</v>
      </c>
      <c r="Q4" s="131">
        <f>INDEX('Base de dados IHS'!$A$1:$V$676,MATCH($N4,'Base de dados IHS'!$C$1:$C$676,0),MATCH($Q$1,'Base de dados IHS'!$A$1:$V$1,0))</f>
        <v>6.5199153915993617E-3</v>
      </c>
      <c r="R4" s="131">
        <f>INDEX('Base de dados IHS'!$A$1:$V$676,MATCH($N4,'Base de dados IHS'!$C$1:$C$676,0),MATCH($R$1,'Base de dados IHS'!$A$1:$V$1,0))</f>
        <v>9.2275371467083582E-3</v>
      </c>
      <c r="S4" s="131">
        <f>INDEX('Base de dados IHS'!$A$1:$V$676,MATCH($N4,'Base de dados IHS'!$C$1:$C$676,0),MATCH($S$1,'Base de dados IHS'!$A$1:$V$1,0))</f>
        <v>2.7076217551089965E-3</v>
      </c>
      <c r="T4" t="str">
        <f>IF(Q4&lt;'Cenario A ranking setor PIB'!$G$86,"N","Y")</f>
        <v>Y</v>
      </c>
    </row>
    <row r="5" spans="1:20" x14ac:dyDescent="0.45">
      <c r="A5" s="293" t="s">
        <v>112</v>
      </c>
      <c r="B5" s="297" t="s">
        <v>5</v>
      </c>
      <c r="C5" s="297" t="s">
        <v>958</v>
      </c>
      <c r="D5" s="311">
        <v>1915.4629002900001</v>
      </c>
      <c r="E5" s="311">
        <v>5628.9724057499998</v>
      </c>
      <c r="F5" s="302">
        <f t="shared" si="0"/>
        <v>1.938700825214509</v>
      </c>
      <c r="G5" s="311">
        <v>3158.4352047500001</v>
      </c>
      <c r="H5" s="311">
        <v>5628.9724057499998</v>
      </c>
      <c r="I5" s="302">
        <f t="shared" si="1"/>
        <v>0.78220290771978984</v>
      </c>
      <c r="J5" s="311">
        <v>7066.3681215300003</v>
      </c>
      <c r="K5" s="311">
        <v>8548.8076854800001</v>
      </c>
      <c r="L5" s="311">
        <v>9657.0854205300002</v>
      </c>
      <c r="M5" s="312">
        <v>12059.716989840001</v>
      </c>
      <c r="N5" t="str">
        <f t="shared" si="2"/>
        <v>PolandManufacture of electrical equipment (C27)</v>
      </c>
      <c r="O5" s="11">
        <f>INDEX('Base de dados IHS'!$A$1:$V$676,MATCH($N5,'Base de dados IHS'!$C$1:$C$676,0),MATCH($O$1,'Base de dados IHS'!$A$1:$V$1,0))</f>
        <v>496555.53410177003</v>
      </c>
      <c r="P5" s="11">
        <f>INDEX('Base de dados IHS'!$A$1:$V$676,MATCH($N5,'Base de dados IHS'!$C$1:$C$676,0),MATCH($P$1,'Base de dados IHS'!$A$1:$V$1,0))</f>
        <v>623108.57565016998</v>
      </c>
      <c r="Q5" s="131">
        <f>INDEX('Base de dados IHS'!$A$1:$V$676,MATCH($N5,'Base de dados IHS'!$C$1:$C$676,0),MATCH($Q$1,'Base de dados IHS'!$A$1:$V$1,0))</f>
        <v>6.3606887605499379E-3</v>
      </c>
      <c r="R5" s="131">
        <f>INDEX('Base de dados IHS'!$A$1:$V$676,MATCH($N5,'Base de dados IHS'!$C$1:$C$676,0),MATCH($R$1,'Base de dados IHS'!$A$1:$V$1,0))</f>
        <v>9.0336943282742707E-3</v>
      </c>
      <c r="S5" s="131">
        <f>INDEX('Base de dados IHS'!$A$1:$V$676,MATCH($N5,'Base de dados IHS'!$C$1:$C$676,0),MATCH($S$1,'Base de dados IHS'!$A$1:$V$1,0))</f>
        <v>2.6730055677243328E-3</v>
      </c>
      <c r="T5" t="str">
        <f>IF(Q5&lt;'Cenario A ranking setor PIB'!$G$86,"N","Y")</f>
        <v>Y</v>
      </c>
    </row>
    <row r="6" spans="1:20" x14ac:dyDescent="0.45">
      <c r="A6" s="293" t="s">
        <v>111</v>
      </c>
      <c r="B6" s="297" t="s">
        <v>5</v>
      </c>
      <c r="C6" s="297" t="s">
        <v>958</v>
      </c>
      <c r="D6" s="311">
        <v>2565.1043531800001</v>
      </c>
      <c r="E6" s="311">
        <v>4595.6493382600001</v>
      </c>
      <c r="F6" s="302">
        <f t="shared" si="0"/>
        <v>0.79160326657381463</v>
      </c>
      <c r="G6" s="311">
        <v>3593.9968155299998</v>
      </c>
      <c r="H6" s="311">
        <v>4595.6493382600001</v>
      </c>
      <c r="I6" s="302">
        <f t="shared" si="1"/>
        <v>0.27870156100355037</v>
      </c>
      <c r="J6" s="311">
        <v>5607.9594803299997</v>
      </c>
      <c r="K6" s="311">
        <v>6287.2910290399996</v>
      </c>
      <c r="L6" s="311">
        <v>6839.93292303</v>
      </c>
      <c r="M6" s="312">
        <v>7862.5011530600004</v>
      </c>
      <c r="N6" t="str">
        <f t="shared" si="2"/>
        <v>Czech RepublicManufacture of electrical equipment (C27)</v>
      </c>
      <c r="O6" s="11">
        <f>INDEX('Base de dados IHS'!$A$1:$V$676,MATCH($N6,'Base de dados IHS'!$C$1:$C$676,0),MATCH($O$1,'Base de dados IHS'!$A$1:$V$1,0))</f>
        <v>220291.04889604999</v>
      </c>
      <c r="P6" s="11">
        <f>INDEX('Base de dados IHS'!$A$1:$V$676,MATCH($N6,'Base de dados IHS'!$C$1:$C$676,0),MATCH($P$1,'Base de dados IHS'!$A$1:$V$1,0))</f>
        <v>247058.51905223</v>
      </c>
      <c r="Q6" s="131">
        <f>INDEX('Base de dados IHS'!$A$1:$V$676,MATCH($N6,'Base de dados IHS'!$C$1:$C$676,0),MATCH($Q$1,'Base de dados IHS'!$A$1:$V$1,0))</f>
        <v>1.6314765550124191E-2</v>
      </c>
      <c r="R6" s="131">
        <f>INDEX('Base de dados IHS'!$A$1:$V$676,MATCH($N6,'Base de dados IHS'!$C$1:$C$676,0),MATCH($R$1,'Base de dados IHS'!$A$1:$V$1,0))</f>
        <v>1.8601460722301368E-2</v>
      </c>
      <c r="S6" s="131">
        <f>INDEX('Base de dados IHS'!$A$1:$V$676,MATCH($N6,'Base de dados IHS'!$C$1:$C$676,0),MATCH($S$1,'Base de dados IHS'!$A$1:$V$1,0))</f>
        <v>2.2866951721771771E-3</v>
      </c>
      <c r="T6" t="str">
        <f>IF(Q6&lt;'Cenario A ranking setor PIB'!$G$86,"N","Y")</f>
        <v>Y</v>
      </c>
    </row>
    <row r="7" spans="1:20" x14ac:dyDescent="0.45">
      <c r="A7" s="293" t="s">
        <v>72</v>
      </c>
      <c r="B7" s="297" t="s">
        <v>5</v>
      </c>
      <c r="C7" s="297" t="s">
        <v>958</v>
      </c>
      <c r="D7" s="311">
        <v>5140.6440112299997</v>
      </c>
      <c r="E7" s="311">
        <v>6440.2840800499998</v>
      </c>
      <c r="F7" s="302">
        <f t="shared" si="0"/>
        <v>0.25281658601157164</v>
      </c>
      <c r="G7" s="311">
        <v>5260.2476380300004</v>
      </c>
      <c r="H7" s="311">
        <v>6440.2840800499998</v>
      </c>
      <c r="I7" s="302">
        <f t="shared" si="1"/>
        <v>0.22433096751732617</v>
      </c>
      <c r="J7" s="311">
        <v>7995.6496806499999</v>
      </c>
      <c r="K7" s="311">
        <v>8478.7864558500005</v>
      </c>
      <c r="L7" s="311">
        <v>8945.6377595600006</v>
      </c>
      <c r="M7" s="312">
        <v>10345.954733160001</v>
      </c>
      <c r="N7" t="str">
        <f t="shared" si="2"/>
        <v>AustriaManufacture of electrical equipment (C27)</v>
      </c>
      <c r="O7" s="11">
        <f>INDEX('Base de dados IHS'!$A$1:$V$676,MATCH($N7,'Base de dados IHS'!$C$1:$C$676,0),MATCH($O$1,'Base de dados IHS'!$A$1:$V$1,0))</f>
        <v>410010.85265116999</v>
      </c>
      <c r="P7" s="11">
        <f>INDEX('Base de dados IHS'!$A$1:$V$676,MATCH($N7,'Base de dados IHS'!$C$1:$C$676,0),MATCH($P$1,'Base de dados IHS'!$A$1:$V$1,0))</f>
        <v>432694.04992214998</v>
      </c>
      <c r="Q7" s="131">
        <f>INDEX('Base de dados IHS'!$A$1:$V$676,MATCH($N7,'Base de dados IHS'!$C$1:$C$676,0),MATCH($Q$1,'Base de dados IHS'!$A$1:$V$1,0))</f>
        <v>1.2829532691675668E-2</v>
      </c>
      <c r="R7" s="131">
        <f>INDEX('Base de dados IHS'!$A$1:$V$676,MATCH($N7,'Base de dados IHS'!$C$1:$C$676,0),MATCH($R$1,'Base de dados IHS'!$A$1:$V$1,0))</f>
        <v>1.4884152165274127E-2</v>
      </c>
      <c r="S7" s="131">
        <f>INDEX('Base de dados IHS'!$A$1:$V$676,MATCH($N7,'Base de dados IHS'!$C$1:$C$676,0),MATCH($S$1,'Base de dados IHS'!$A$1:$V$1,0))</f>
        <v>2.0546194735984596E-3</v>
      </c>
      <c r="T7" t="str">
        <f>IF(Q7&lt;'Cenario A ranking setor PIB'!$G$86,"N","Y")</f>
        <v>Y</v>
      </c>
    </row>
    <row r="8" spans="1:20" x14ac:dyDescent="0.45">
      <c r="A8" s="293" t="s">
        <v>162</v>
      </c>
      <c r="B8" s="297" t="s">
        <v>5</v>
      </c>
      <c r="C8" s="297" t="s">
        <v>958</v>
      </c>
      <c r="D8" s="311">
        <v>634.04905991999999</v>
      </c>
      <c r="E8" s="311">
        <v>1681.9427603199999</v>
      </c>
      <c r="F8" s="302">
        <f t="shared" si="0"/>
        <v>1.6527012918088957</v>
      </c>
      <c r="G8" s="311">
        <v>1032.0286228499999</v>
      </c>
      <c r="H8" s="311">
        <v>1681.9427603199999</v>
      </c>
      <c r="I8" s="302">
        <f t="shared" si="1"/>
        <v>0.62974429495494877</v>
      </c>
      <c r="J8" s="311">
        <v>1785.94198637</v>
      </c>
      <c r="K8" s="311">
        <v>2027.9329915400001</v>
      </c>
      <c r="L8" s="311">
        <v>2205.80038285</v>
      </c>
      <c r="M8" s="312">
        <v>2584.5949984700001</v>
      </c>
      <c r="N8" t="str">
        <f t="shared" si="2"/>
        <v>RomaniaManufacture of electrical equipment (C27)</v>
      </c>
      <c r="O8" s="11">
        <f>INDEX('Base de dados IHS'!$A$1:$V$676,MATCH($N8,'Base de dados IHS'!$C$1:$C$676,0),MATCH($O$1,'Base de dados IHS'!$A$1:$V$1,0))</f>
        <v>204518.17392167001</v>
      </c>
      <c r="P8" s="11">
        <f>INDEX('Base de dados IHS'!$A$1:$V$676,MATCH($N8,'Base de dados IHS'!$C$1:$C$676,0),MATCH($P$1,'Base de dados IHS'!$A$1:$V$1,0))</f>
        <v>254974.25152873</v>
      </c>
      <c r="Q8" s="131">
        <f>INDEX('Base de dados IHS'!$A$1:$V$676,MATCH($N8,'Base de dados IHS'!$C$1:$C$676,0),MATCH($Q$1,'Base de dados IHS'!$A$1:$V$1,0))</f>
        <v>5.0461462815782057E-3</v>
      </c>
      <c r="R8" s="131">
        <f>INDEX('Base de dados IHS'!$A$1:$V$676,MATCH($N8,'Base de dados IHS'!$C$1:$C$676,0),MATCH($R$1,'Base de dados IHS'!$A$1:$V$1,0))</f>
        <v>6.596520041673627E-3</v>
      </c>
      <c r="S8" s="131">
        <f>INDEX('Base de dados IHS'!$A$1:$V$676,MATCH($N8,'Base de dados IHS'!$C$1:$C$676,0),MATCH($S$1,'Base de dados IHS'!$A$1:$V$1,0))</f>
        <v>1.5503737600954214E-3</v>
      </c>
      <c r="T8" t="str">
        <f>IF(Q8&lt;'Cenario A ranking setor PIB'!$G$86,"N","Y")</f>
        <v>Y</v>
      </c>
    </row>
    <row r="9" spans="1:20" x14ac:dyDescent="0.45">
      <c r="A9" s="293" t="s">
        <v>157</v>
      </c>
      <c r="B9" s="297" t="s">
        <v>5</v>
      </c>
      <c r="C9" s="297" t="s">
        <v>958</v>
      </c>
      <c r="D9" s="311">
        <v>529.40892083999995</v>
      </c>
      <c r="E9" s="311">
        <v>1344.2723556599999</v>
      </c>
      <c r="F9" s="302">
        <f t="shared" si="0"/>
        <v>1.539194756157634</v>
      </c>
      <c r="G9" s="311">
        <v>1062.7063783599999</v>
      </c>
      <c r="H9" s="311">
        <v>1344.2723556599999</v>
      </c>
      <c r="I9" s="302">
        <f t="shared" si="1"/>
        <v>0.26495180892253689</v>
      </c>
      <c r="J9" s="311">
        <v>1716.29671046</v>
      </c>
      <c r="K9" s="311">
        <v>1943.8903421800001</v>
      </c>
      <c r="L9" s="311">
        <v>2078.4460526399998</v>
      </c>
      <c r="M9" s="312">
        <v>2518.24904457</v>
      </c>
      <c r="N9" t="str">
        <f t="shared" si="2"/>
        <v>SlovakiaManufacture of electrical equipment (C27)</v>
      </c>
      <c r="O9" s="11">
        <f>INDEX('Base de dados IHS'!$A$1:$V$676,MATCH($N9,'Base de dados IHS'!$C$1:$C$676,0),MATCH($O$1,'Base de dados IHS'!$A$1:$V$1,0))</f>
        <v>94460.171576160006</v>
      </c>
      <c r="P9" s="11">
        <f>INDEX('Base de dados IHS'!$A$1:$V$676,MATCH($N9,'Base de dados IHS'!$C$1:$C$676,0),MATCH($P$1,'Base de dados IHS'!$A$1:$V$1,0))</f>
        <v>107076.6714533</v>
      </c>
      <c r="Q9" s="131">
        <f>INDEX('Base de dados IHS'!$A$1:$V$676,MATCH($N9,'Base de dados IHS'!$C$1:$C$676,0),MATCH($Q$1,'Base de dados IHS'!$A$1:$V$1,0))</f>
        <v>1.1250311751796641E-2</v>
      </c>
      <c r="R9" s="131">
        <f>INDEX('Base de dados IHS'!$A$1:$V$676,MATCH($N9,'Base de dados IHS'!$C$1:$C$676,0),MATCH($R$1,'Base de dados IHS'!$A$1:$V$1,0))</f>
        <v>1.2554297191113992E-2</v>
      </c>
      <c r="S9" s="131">
        <f>INDEX('Base de dados IHS'!$A$1:$V$676,MATCH($N9,'Base de dados IHS'!$C$1:$C$676,0),MATCH($S$1,'Base de dados IHS'!$A$1:$V$1,0))</f>
        <v>1.3039854393173504E-3</v>
      </c>
      <c r="T9" t="str">
        <f>IF(Q9&lt;'Cenario A ranking setor PIB'!$G$86,"N","Y")</f>
        <v>Y</v>
      </c>
    </row>
    <row r="10" spans="1:20" x14ac:dyDescent="0.45">
      <c r="A10" s="293" t="s">
        <v>144</v>
      </c>
      <c r="B10" s="297" t="s">
        <v>5</v>
      </c>
      <c r="C10" s="297" t="s">
        <v>958</v>
      </c>
      <c r="D10" s="311">
        <v>1402.71045338</v>
      </c>
      <c r="E10" s="311">
        <v>2719.1244554300001</v>
      </c>
      <c r="F10" s="302">
        <f t="shared" si="0"/>
        <v>0.93847878503930859</v>
      </c>
      <c r="G10" s="311">
        <v>1945.2200841399999</v>
      </c>
      <c r="H10" s="311">
        <v>2719.1244554300001</v>
      </c>
      <c r="I10" s="302">
        <f t="shared" si="1"/>
        <v>0.39784926014279276</v>
      </c>
      <c r="J10" s="311">
        <v>3527.7986359800002</v>
      </c>
      <c r="K10" s="311">
        <v>4371.85825983</v>
      </c>
      <c r="L10" s="311">
        <v>5070.1819042999996</v>
      </c>
      <c r="M10" s="312">
        <v>6904.3000359300004</v>
      </c>
      <c r="N10" t="str">
        <f t="shared" si="2"/>
        <v>MalaysiaManufacture of electrical equipment (C27)</v>
      </c>
      <c r="O10" s="11">
        <f>INDEX('Base de dados IHS'!$A$1:$V$676,MATCH($N10,'Base de dados IHS'!$C$1:$C$676,0),MATCH($O$1,'Base de dados IHS'!$A$1:$V$1,0))</f>
        <v>301830.41438700003</v>
      </c>
      <c r="P10" s="11">
        <f>INDEX('Base de dados IHS'!$A$1:$V$676,MATCH($N10,'Base de dados IHS'!$C$1:$C$676,0),MATCH($P$1,'Base de dados IHS'!$A$1:$V$1,0))</f>
        <v>356559.39228144003</v>
      </c>
      <c r="Q10" s="131">
        <f>INDEX('Base de dados IHS'!$A$1:$V$676,MATCH($N10,'Base de dados IHS'!$C$1:$C$676,0),MATCH($Q$1,'Base de dados IHS'!$A$1:$V$1,0))</f>
        <v>6.4447450999616076E-3</v>
      </c>
      <c r="R10" s="131">
        <f>INDEX('Base de dados IHS'!$A$1:$V$676,MATCH($N10,'Base de dados IHS'!$C$1:$C$676,0),MATCH($R$1,'Base de dados IHS'!$A$1:$V$1,0))</f>
        <v>7.6260070952884522E-3</v>
      </c>
      <c r="S10" s="131">
        <f>INDEX('Base de dados IHS'!$A$1:$V$676,MATCH($N10,'Base de dados IHS'!$C$1:$C$676,0),MATCH($S$1,'Base de dados IHS'!$A$1:$V$1,0))</f>
        <v>1.1812619953268447E-3</v>
      </c>
      <c r="T10" t="str">
        <f>IF(Q10&lt;'Cenario A ranking setor PIB'!$G$86,"N","Y")</f>
        <v>Y</v>
      </c>
    </row>
    <row r="11" spans="1:20" x14ac:dyDescent="0.45">
      <c r="A11" s="293" t="s">
        <v>179</v>
      </c>
      <c r="B11" s="297" t="s">
        <v>5</v>
      </c>
      <c r="C11" s="297" t="s">
        <v>958</v>
      </c>
      <c r="D11" s="311">
        <v>453575.61284344998</v>
      </c>
      <c r="E11" s="311">
        <v>739587.33472974005</v>
      </c>
      <c r="F11" s="302">
        <f t="shared" si="0"/>
        <v>0.63057120750670959</v>
      </c>
      <c r="G11" s="311">
        <v>550223.83760542003</v>
      </c>
      <c r="H11" s="311">
        <v>739587.33472974005</v>
      </c>
      <c r="I11" s="302">
        <f t="shared" si="1"/>
        <v>0.34415720327282062</v>
      </c>
      <c r="J11" s="311">
        <v>951865.94585999998</v>
      </c>
      <c r="K11" s="311">
        <v>1130386.8400522999</v>
      </c>
      <c r="L11" s="311">
        <v>1273634.5046331</v>
      </c>
      <c r="M11" s="312">
        <v>1639223.5125329001</v>
      </c>
      <c r="N11" t="str">
        <f t="shared" si="2"/>
        <v>WorldManufacture of electrical equipment (C27)</v>
      </c>
      <c r="O11" s="11">
        <f>INDEX('Base de dados IHS'!$A$1:$V$676,MATCH($N11,'Base de dados IHS'!$C$1:$C$676,0),MATCH($O$1,'Base de dados IHS'!$A$1:$V$1,0))</f>
        <v>74892116.540485993</v>
      </c>
      <c r="P11" s="11">
        <f>INDEX('Base de dados IHS'!$A$1:$V$676,MATCH($N11,'Base de dados IHS'!$C$1:$C$676,0),MATCH($P$1,'Base de dados IHS'!$A$1:$V$1,0))</f>
        <v>87029234.955234006</v>
      </c>
      <c r="Q11" s="131">
        <f>INDEX('Base de dados IHS'!$A$1:$V$676,MATCH($N11,'Base de dados IHS'!$C$1:$C$676,0),MATCH($Q$1,'Base de dados IHS'!$A$1:$V$1,0))</f>
        <v>7.3468859343556415E-3</v>
      </c>
      <c r="R11" s="131">
        <f>INDEX('Base de dados IHS'!$A$1:$V$676,MATCH($N11,'Base de dados IHS'!$C$1:$C$676,0),MATCH($R$1,'Base de dados IHS'!$A$1:$V$1,0))</f>
        <v>8.4981481810125995E-3</v>
      </c>
      <c r="S11" s="131">
        <f>INDEX('Base de dados IHS'!$A$1:$V$676,MATCH($N11,'Base de dados IHS'!$C$1:$C$676,0),MATCH($S$1,'Base de dados IHS'!$A$1:$V$1,0))</f>
        <v>1.151262246656958E-3</v>
      </c>
      <c r="T11" t="str">
        <f>IF(Q11&lt;'Cenario A ranking setor PIB'!$G$86,"N","Y")</f>
        <v>Y</v>
      </c>
    </row>
    <row r="12" spans="1:20" x14ac:dyDescent="0.45">
      <c r="A12" s="293" t="s">
        <v>104</v>
      </c>
      <c r="B12" s="297" t="s">
        <v>5</v>
      </c>
      <c r="C12" s="297" t="s">
        <v>958</v>
      </c>
      <c r="D12" s="311">
        <v>24044.493140639999</v>
      </c>
      <c r="E12" s="311">
        <v>31604.138439639999</v>
      </c>
      <c r="F12" s="302">
        <f t="shared" si="0"/>
        <v>0.31440235628101831</v>
      </c>
      <c r="G12" s="311">
        <v>26066.193801099998</v>
      </c>
      <c r="H12" s="311">
        <v>31604.138439639999</v>
      </c>
      <c r="I12" s="302">
        <f t="shared" si="1"/>
        <v>0.21245697322738</v>
      </c>
      <c r="J12" s="311">
        <v>33474.313615300001</v>
      </c>
      <c r="K12" s="311">
        <v>36943.89361608</v>
      </c>
      <c r="L12" s="311">
        <v>39672.972178620003</v>
      </c>
      <c r="M12" s="312">
        <v>46548.684177900002</v>
      </c>
      <c r="N12" t="str">
        <f t="shared" si="2"/>
        <v>South KoreaManufacture of electrical equipment (C27)</v>
      </c>
      <c r="O12" s="11">
        <f>INDEX('Base de dados IHS'!$A$1:$V$676,MATCH($N12,'Base de dados IHS'!$C$1:$C$676,0),MATCH($O$1,'Base de dados IHS'!$A$1:$V$1,0))</f>
        <v>1478297.0807395</v>
      </c>
      <c r="P12" s="11">
        <f>INDEX('Base de dados IHS'!$A$1:$V$676,MATCH($N12,'Base de dados IHS'!$C$1:$C$676,0),MATCH($P$1,'Base de dados IHS'!$A$1:$V$1,0))</f>
        <v>1710728.7967964001</v>
      </c>
      <c r="Q12" s="131">
        <f>INDEX('Base de dados IHS'!$A$1:$V$676,MATCH($N12,'Base de dados IHS'!$C$1:$C$676,0),MATCH($Q$1,'Base de dados IHS'!$A$1:$V$1,0))</f>
        <v>1.7632581529593974E-2</v>
      </c>
      <c r="R12" s="131">
        <f>INDEX('Base de dados IHS'!$A$1:$V$676,MATCH($N12,'Base de dados IHS'!$C$1:$C$676,0),MATCH($R$1,'Base de dados IHS'!$A$1:$V$1,0))</f>
        <v>1.8474078707755172E-2</v>
      </c>
      <c r="S12" s="131">
        <f>INDEX('Base de dados IHS'!$A$1:$V$676,MATCH($N12,'Base de dados IHS'!$C$1:$C$676,0),MATCH($S$1,'Base de dados IHS'!$A$1:$V$1,0))</f>
        <v>8.4149717816119768E-4</v>
      </c>
      <c r="T12" t="str">
        <f>IF(Q12&lt;'Cenario A ranking setor PIB'!$G$86,"N","Y")</f>
        <v>Y</v>
      </c>
    </row>
    <row r="13" spans="1:20" hidden="1" x14ac:dyDescent="0.45">
      <c r="A13" s="293" t="s">
        <v>77</v>
      </c>
      <c r="B13" s="297" t="s">
        <v>5</v>
      </c>
      <c r="C13" s="297" t="s">
        <v>958</v>
      </c>
      <c r="D13" s="311">
        <v>5314.5946182300004</v>
      </c>
      <c r="E13" s="311">
        <v>5075.3655449799999</v>
      </c>
      <c r="F13" s="302">
        <f t="shared" si="0"/>
        <v>-4.5013606951206153E-2</v>
      </c>
      <c r="G13" s="311">
        <v>4004.3651102700001</v>
      </c>
      <c r="H13" s="311">
        <v>5075.3655449799999</v>
      </c>
      <c r="I13" s="302">
        <f t="shared" si="1"/>
        <v>0.26745823750267017</v>
      </c>
      <c r="J13" s="311">
        <v>6153.2655011400002</v>
      </c>
      <c r="K13" s="311">
        <v>6680.8005481800001</v>
      </c>
      <c r="L13" s="311">
        <v>6995.2530251999997</v>
      </c>
      <c r="M13" s="312">
        <v>7683.1466308199997</v>
      </c>
      <c r="N13" t="str">
        <f t="shared" si="2"/>
        <v>SpainManufacture of electrical equipment (C27)</v>
      </c>
      <c r="O13" s="11">
        <f>INDEX('Base de dados IHS'!$A$1:$V$676,MATCH($N13,'Base de dados IHS'!$C$1:$C$676,0),MATCH($O$1,'Base de dados IHS'!$A$1:$V$1,0))</f>
        <v>1259732.1048611</v>
      </c>
      <c r="P13" s="11">
        <f>INDEX('Base de dados IHS'!$A$1:$V$676,MATCH($N13,'Base de dados IHS'!$C$1:$C$676,0),MATCH($P$1,'Base de dados IHS'!$A$1:$V$1,0))</f>
        <v>1317888.2673469</v>
      </c>
      <c r="Q13" s="131">
        <f>INDEX('Base de dados IHS'!$A$1:$V$676,MATCH($N13,'Base de dados IHS'!$C$1:$C$676,0),MATCH($Q$1,'Base de dados IHS'!$A$1:$V$1,0))</f>
        <v>3.1787433969633788E-3</v>
      </c>
      <c r="R13" s="131">
        <f>INDEX('Base de dados IHS'!$A$1:$V$676,MATCH($N13,'Base de dados IHS'!$C$1:$C$676,0),MATCH($R$1,'Base de dados IHS'!$A$1:$V$1,0))</f>
        <v>3.851134933614248E-3</v>
      </c>
      <c r="S13" s="131">
        <f>INDEX('Base de dados IHS'!$A$1:$V$676,MATCH($N13,'Base de dados IHS'!$C$1:$C$676,0),MATCH($S$1,'Base de dados IHS'!$A$1:$V$1,0))</f>
        <v>6.7239153665086919E-4</v>
      </c>
      <c r="T13" t="str">
        <f>IF(Q13&lt;'Cenario A ranking setor PIB'!$G$86,"N","Y")</f>
        <v>N</v>
      </c>
    </row>
    <row r="14" spans="1:20" hidden="1" x14ac:dyDescent="0.45">
      <c r="A14" s="293" t="s">
        <v>149</v>
      </c>
      <c r="B14" s="297" t="s">
        <v>5</v>
      </c>
      <c r="C14" s="297" t="s">
        <v>958</v>
      </c>
      <c r="D14" s="311">
        <v>582.22750604999999</v>
      </c>
      <c r="E14" s="311">
        <v>560.92385063999996</v>
      </c>
      <c r="F14" s="302">
        <f t="shared" si="0"/>
        <v>-3.658991577799231E-2</v>
      </c>
      <c r="G14" s="311">
        <v>413.88932887999999</v>
      </c>
      <c r="H14" s="311">
        <v>560.92385063999996</v>
      </c>
      <c r="I14" s="302">
        <f t="shared" si="1"/>
        <v>0.35525081585911122</v>
      </c>
      <c r="J14" s="311">
        <v>477.62545827000002</v>
      </c>
      <c r="K14" s="311">
        <v>591.90040752000004</v>
      </c>
      <c r="L14" s="311">
        <v>761.57380104000003</v>
      </c>
      <c r="M14" s="312">
        <v>1298.8255703299999</v>
      </c>
      <c r="N14" t="str">
        <f t="shared" si="2"/>
        <v>UkraineManufacture of electrical equipment (C27)</v>
      </c>
      <c r="O14" s="11">
        <f>INDEX('Base de dados IHS'!$A$1:$V$676,MATCH($N14,'Base de dados IHS'!$C$1:$C$676,0),MATCH($O$1,'Base de dados IHS'!$A$1:$V$1,0))</f>
        <v>137743.94890503999</v>
      </c>
      <c r="P14" s="11">
        <f>INDEX('Base de dados IHS'!$A$1:$V$676,MATCH($N14,'Base de dados IHS'!$C$1:$C$676,0),MATCH($P$1,'Base de dados IHS'!$A$1:$V$1,0))</f>
        <v>153275.23415388001</v>
      </c>
      <c r="Q14" s="131">
        <f>INDEX('Base de dados IHS'!$A$1:$V$676,MATCH($N14,'Base de dados IHS'!$C$1:$C$676,0),MATCH($Q$1,'Base de dados IHS'!$A$1:$V$1,0))</f>
        <v>3.0047732199498163E-3</v>
      </c>
      <c r="R14" s="131">
        <f>INDEX('Base de dados IHS'!$A$1:$V$676,MATCH($N14,'Base de dados IHS'!$C$1:$C$676,0),MATCH($R$1,'Base de dados IHS'!$A$1:$V$1,0))</f>
        <v>3.659585671073664E-3</v>
      </c>
      <c r="S14" s="131">
        <f>INDEX('Base de dados IHS'!$A$1:$V$676,MATCH($N14,'Base de dados IHS'!$C$1:$C$676,0),MATCH($S$1,'Base de dados IHS'!$A$1:$V$1,0))</f>
        <v>6.5481245112384776E-4</v>
      </c>
      <c r="T14" t="str">
        <f>IF(Q14&lt;'Cenario A ranking setor PIB'!$G$86,"N","Y")</f>
        <v>N</v>
      </c>
    </row>
    <row r="15" spans="1:20" x14ac:dyDescent="0.45">
      <c r="A15" s="293" t="s">
        <v>100</v>
      </c>
      <c r="B15" s="297" t="s">
        <v>5</v>
      </c>
      <c r="C15" s="297" t="s">
        <v>958</v>
      </c>
      <c r="D15" s="311">
        <v>48763.679053389998</v>
      </c>
      <c r="E15" s="311">
        <v>65010.760856410001</v>
      </c>
      <c r="F15" s="302">
        <f t="shared" si="0"/>
        <v>0.33317998392269632</v>
      </c>
      <c r="G15" s="311">
        <v>61194.972818609996</v>
      </c>
      <c r="H15" s="311">
        <v>65010.760856410001</v>
      </c>
      <c r="I15" s="302">
        <f t="shared" si="1"/>
        <v>6.2354599766070828E-2</v>
      </c>
      <c r="J15" s="311">
        <v>66545.314207529998</v>
      </c>
      <c r="K15" s="311">
        <v>68981.299789700002</v>
      </c>
      <c r="L15" s="311">
        <v>70936.920816839993</v>
      </c>
      <c r="M15" s="312">
        <v>75203.84685632</v>
      </c>
      <c r="N15" t="str">
        <f t="shared" si="2"/>
        <v>JapanManufacture of electrical equipment (C27)</v>
      </c>
      <c r="O15" s="11">
        <f>INDEX('Base de dados IHS'!$A$1:$V$676,MATCH($N15,'Base de dados IHS'!$C$1:$C$676,0),MATCH($O$1,'Base de dados IHS'!$A$1:$V$1,0))</f>
        <v>4983596.864085</v>
      </c>
      <c r="P15" s="11">
        <f>INDEX('Base de dados IHS'!$A$1:$V$676,MATCH($N15,'Base de dados IHS'!$C$1:$C$676,0),MATCH($P$1,'Base de dados IHS'!$A$1:$V$1,0))</f>
        <v>5032370.4042106001</v>
      </c>
      <c r="Q15" s="131">
        <f>INDEX('Base de dados IHS'!$A$1:$V$676,MATCH($N15,'Base de dados IHS'!$C$1:$C$676,0),MATCH($Q$1,'Base de dados IHS'!$A$1:$V$1,0))</f>
        <v>1.2279278297893692E-2</v>
      </c>
      <c r="R15" s="131">
        <f>INDEX('Base de dados IHS'!$A$1:$V$676,MATCH($N15,'Base de dados IHS'!$C$1:$C$676,0),MATCH($R$1,'Base de dados IHS'!$A$1:$V$1,0))</f>
        <v>1.2918516650128792E-2</v>
      </c>
      <c r="S15" s="131">
        <f>INDEX('Base de dados IHS'!$A$1:$V$676,MATCH($N15,'Base de dados IHS'!$C$1:$C$676,0),MATCH($S$1,'Base de dados IHS'!$A$1:$V$1,0))</f>
        <v>6.3923835223510077E-4</v>
      </c>
      <c r="T15" t="str">
        <f>IF(Q15&lt;'Cenario A ranking setor PIB'!$G$86,"N","Y")</f>
        <v>Y</v>
      </c>
    </row>
    <row r="16" spans="1:20" x14ac:dyDescent="0.45">
      <c r="A16" s="293" t="s">
        <v>101</v>
      </c>
      <c r="B16" s="297" t="s">
        <v>5</v>
      </c>
      <c r="C16" s="297" t="s">
        <v>958</v>
      </c>
      <c r="D16" s="311">
        <v>15346.093660119999</v>
      </c>
      <c r="E16" s="311">
        <v>13737.088025139999</v>
      </c>
      <c r="F16" s="302">
        <f t="shared" si="0"/>
        <v>-0.10484789618880885</v>
      </c>
      <c r="G16" s="311">
        <v>12124.36184872</v>
      </c>
      <c r="H16" s="311">
        <v>13737.088025139999</v>
      </c>
      <c r="I16" s="302">
        <f t="shared" si="1"/>
        <v>0.13301534518208546</v>
      </c>
      <c r="J16" s="311">
        <v>13524.623542879999</v>
      </c>
      <c r="K16" s="311">
        <v>14159.57765635</v>
      </c>
      <c r="L16" s="311">
        <v>14705.247246680001</v>
      </c>
      <c r="M16" s="312">
        <v>15827.489312080001</v>
      </c>
      <c r="N16" t="str">
        <f t="shared" si="2"/>
        <v>ItalyManufacture of electrical equipment (C27)</v>
      </c>
      <c r="O16" s="11">
        <f>INDEX('Base de dados IHS'!$A$1:$V$676,MATCH($N16,'Base de dados IHS'!$C$1:$C$676,0),MATCH($O$1,'Base de dados IHS'!$A$1:$V$1,0))</f>
        <v>1924364.2462229</v>
      </c>
      <c r="P16" s="11">
        <f>INDEX('Base de dados IHS'!$A$1:$V$676,MATCH($N16,'Base de dados IHS'!$C$1:$C$676,0),MATCH($P$1,'Base de dados IHS'!$A$1:$V$1,0))</f>
        <v>1980878.3634254001</v>
      </c>
      <c r="Q16" s="131">
        <f>INDEX('Base de dados IHS'!$A$1:$V$676,MATCH($N16,'Base de dados IHS'!$C$1:$C$676,0),MATCH($Q$1,'Base de dados IHS'!$A$1:$V$1,0))</f>
        <v>6.3004505890802281E-3</v>
      </c>
      <c r="R16" s="131">
        <f>INDEX('Base de dados IHS'!$A$1:$V$676,MATCH($N16,'Base de dados IHS'!$C$1:$C$676,0),MATCH($R$1,'Base de dados IHS'!$A$1:$V$1,0))</f>
        <v>6.934846822893948E-3</v>
      </c>
      <c r="S16" s="131">
        <f>INDEX('Base de dados IHS'!$A$1:$V$676,MATCH($N16,'Base de dados IHS'!$C$1:$C$676,0),MATCH($S$1,'Base de dados IHS'!$A$1:$V$1,0))</f>
        <v>6.3439623381371987E-4</v>
      </c>
      <c r="T16" t="str">
        <f>IF(Q16&lt;'Cenario A ranking setor PIB'!$G$86,"N","Y")</f>
        <v>Y</v>
      </c>
    </row>
    <row r="17" spans="1:20" x14ac:dyDescent="0.45">
      <c r="A17" s="293" t="s">
        <v>75</v>
      </c>
      <c r="B17" s="297" t="s">
        <v>5</v>
      </c>
      <c r="C17" s="297" t="s">
        <v>958</v>
      </c>
      <c r="D17" s="311">
        <v>6139.5432518899997</v>
      </c>
      <c r="E17" s="311">
        <v>7534.5558912099996</v>
      </c>
      <c r="F17" s="302">
        <f t="shared" si="0"/>
        <v>0.22721765807099059</v>
      </c>
      <c r="G17" s="311">
        <v>6689.2608577600004</v>
      </c>
      <c r="H17" s="311">
        <v>7534.5558912099996</v>
      </c>
      <c r="I17" s="302">
        <f t="shared" si="1"/>
        <v>0.12636598443748825</v>
      </c>
      <c r="J17" s="311">
        <v>8740.5366396299996</v>
      </c>
      <c r="K17" s="311">
        <v>9902.4630667700003</v>
      </c>
      <c r="L17" s="311">
        <v>10808.91778281</v>
      </c>
      <c r="M17" s="312">
        <v>13230.82215987</v>
      </c>
      <c r="N17" t="str">
        <f t="shared" si="2"/>
        <v>MexicoManufacture of electrical equipment (C27)</v>
      </c>
      <c r="O17" s="11">
        <f>INDEX('Base de dados IHS'!$A$1:$V$676,MATCH($N17,'Base de dados IHS'!$C$1:$C$676,0),MATCH($O$1,'Base de dados IHS'!$A$1:$V$1,0))</f>
        <v>1239119.2771185001</v>
      </c>
      <c r="P17" s="11">
        <f>INDEX('Base de dados IHS'!$A$1:$V$676,MATCH($N17,'Base de dados IHS'!$C$1:$C$676,0),MATCH($P$1,'Base de dados IHS'!$A$1:$V$1,0))</f>
        <v>1262038.2891611001</v>
      </c>
      <c r="Q17" s="131">
        <f>INDEX('Base de dados IHS'!$A$1:$V$676,MATCH($N17,'Base de dados IHS'!$C$1:$C$676,0),MATCH($Q$1,'Base de dados IHS'!$A$1:$V$1,0))</f>
        <v>5.3983994771798624E-3</v>
      </c>
      <c r="R17" s="131">
        <f>INDEX('Base de dados IHS'!$A$1:$V$676,MATCH($N17,'Base de dados IHS'!$C$1:$C$676,0),MATCH($R$1,'Base de dados IHS'!$A$1:$V$1,0))</f>
        <v>5.9701484146082104E-3</v>
      </c>
      <c r="S17" s="131">
        <f>INDEX('Base de dados IHS'!$A$1:$V$676,MATCH($N17,'Base de dados IHS'!$C$1:$C$676,0),MATCH($S$1,'Base de dados IHS'!$A$1:$V$1,0))</f>
        <v>5.7174893742834802E-4</v>
      </c>
      <c r="T17" t="str">
        <f>IF(Q17&lt;'Cenario A ranking setor PIB'!$G$86,"N","Y")</f>
        <v>Y</v>
      </c>
    </row>
    <row r="18" spans="1:20" hidden="1" x14ac:dyDescent="0.45">
      <c r="A18" s="293" t="s">
        <v>66</v>
      </c>
      <c r="B18" s="297" t="s">
        <v>5</v>
      </c>
      <c r="C18" s="297" t="s">
        <v>958</v>
      </c>
      <c r="D18" s="311">
        <v>2505.20259532</v>
      </c>
      <c r="E18" s="311">
        <v>3768.1692365099998</v>
      </c>
      <c r="F18" s="302">
        <f t="shared" si="0"/>
        <v>0.50413752706043158</v>
      </c>
      <c r="G18" s="311">
        <v>3026.87816131</v>
      </c>
      <c r="H18" s="311">
        <v>3768.1692365099998</v>
      </c>
      <c r="I18" s="302">
        <f t="shared" si="1"/>
        <v>0.24490284566960474</v>
      </c>
      <c r="J18" s="311">
        <v>4149.4382951300004</v>
      </c>
      <c r="K18" s="311">
        <v>4142.2503596899996</v>
      </c>
      <c r="L18" s="311">
        <v>4117.1770169499996</v>
      </c>
      <c r="M18" s="312">
        <v>4049.6313064199999</v>
      </c>
      <c r="N18" t="str">
        <f t="shared" si="2"/>
        <v>NetherlandsManufacture of electrical equipment (C27)</v>
      </c>
      <c r="O18" s="11">
        <f>INDEX('Base de dados IHS'!$A$1:$V$676,MATCH($N18,'Base de dados IHS'!$C$1:$C$676,0),MATCH($O$1,'Base de dados IHS'!$A$1:$V$1,0))</f>
        <v>829203.89806390996</v>
      </c>
      <c r="P18" s="11">
        <f>INDEX('Base de dados IHS'!$A$1:$V$676,MATCH($N18,'Base de dados IHS'!$C$1:$C$676,0),MATCH($P$1,'Base de dados IHS'!$A$1:$V$1,0))</f>
        <v>928325.09368340997</v>
      </c>
      <c r="Q18" s="131">
        <f>INDEX('Base de dados IHS'!$A$1:$V$676,MATCH($N18,'Base de dados IHS'!$C$1:$C$676,0),MATCH($Q$1,'Base de dados IHS'!$A$1:$V$1,0))</f>
        <v>3.650342416837875E-3</v>
      </c>
      <c r="R18" s="131">
        <f>INDEX('Base de dados IHS'!$A$1:$V$676,MATCH($N18,'Base de dados IHS'!$C$1:$C$676,0),MATCH($R$1,'Base de dados IHS'!$A$1:$V$1,0))</f>
        <v>4.0591052231052499E-3</v>
      </c>
      <c r="S18" s="131">
        <f>INDEX('Base de dados IHS'!$A$1:$V$676,MATCH($N18,'Base de dados IHS'!$C$1:$C$676,0),MATCH($S$1,'Base de dados IHS'!$A$1:$V$1,0))</f>
        <v>4.0876280626737493E-4</v>
      </c>
      <c r="T18" t="str">
        <f>IF(Q18&lt;'Cenario A ranking setor PIB'!$G$86,"N","Y")</f>
        <v>N</v>
      </c>
    </row>
    <row r="19" spans="1:20" hidden="1" x14ac:dyDescent="0.45">
      <c r="A19" s="293" t="s">
        <v>165</v>
      </c>
      <c r="B19" s="297" t="s">
        <v>5</v>
      </c>
      <c r="C19" s="297" t="s">
        <v>958</v>
      </c>
      <c r="D19" s="311">
        <v>81.242129169999998</v>
      </c>
      <c r="E19" s="311">
        <v>136.71460564</v>
      </c>
      <c r="F19" s="302">
        <f t="shared" si="0"/>
        <v>0.68280431639012407</v>
      </c>
      <c r="G19" s="311">
        <v>100.13585359</v>
      </c>
      <c r="H19" s="311">
        <v>136.71460564</v>
      </c>
      <c r="I19" s="302">
        <f t="shared" si="1"/>
        <v>0.3652912592104065</v>
      </c>
      <c r="J19" s="311">
        <v>159.37452245</v>
      </c>
      <c r="K19" s="311">
        <v>178.37894657999999</v>
      </c>
      <c r="L19" s="311">
        <v>194.75162366000001</v>
      </c>
      <c r="M19" s="312">
        <v>238.97019222</v>
      </c>
      <c r="N19" t="str">
        <f t="shared" si="2"/>
        <v>EcuadorManufacture of electrical equipment (C27)</v>
      </c>
      <c r="O19" s="11">
        <f>INDEX('Base de dados IHS'!$A$1:$V$676,MATCH($N19,'Base de dados IHS'!$C$1:$C$676,0),MATCH($O$1,'Base de dados IHS'!$A$1:$V$1,0))</f>
        <v>105544.34131757999</v>
      </c>
      <c r="P19" s="11">
        <f>INDEX('Base de dados IHS'!$A$1:$V$676,MATCH($N19,'Base de dados IHS'!$C$1:$C$676,0),MATCH($P$1,'Base de dados IHS'!$A$1:$V$1,0))</f>
        <v>103911.06087433999</v>
      </c>
      <c r="Q19" s="131">
        <f>INDEX('Base de dados IHS'!$A$1:$V$676,MATCH($N19,'Base de dados IHS'!$C$1:$C$676,0),MATCH($Q$1,'Base de dados IHS'!$A$1:$V$1,0))</f>
        <v>9.4875625106886582E-4</v>
      </c>
      <c r="R19" s="131">
        <f>INDEX('Base de dados IHS'!$A$1:$V$676,MATCH($N19,'Base de dados IHS'!$C$1:$C$676,0),MATCH($R$1,'Base de dados IHS'!$A$1:$V$1,0))</f>
        <v>1.3156886715393027E-3</v>
      </c>
      <c r="S19" s="131">
        <f>INDEX('Base de dados IHS'!$A$1:$V$676,MATCH($N19,'Base de dados IHS'!$C$1:$C$676,0),MATCH($S$1,'Base de dados IHS'!$A$1:$V$1,0))</f>
        <v>3.6693242047043683E-4</v>
      </c>
      <c r="T19" t="str">
        <f>IF(Q19&lt;'Cenario A ranking setor PIB'!$G$86,"N","Y")</f>
        <v>N</v>
      </c>
    </row>
    <row r="20" spans="1:20" hidden="1" x14ac:dyDescent="0.45">
      <c r="A20" s="293" t="s">
        <v>121</v>
      </c>
      <c r="B20" s="297" t="s">
        <v>5</v>
      </c>
      <c r="C20" s="297" t="s">
        <v>958</v>
      </c>
      <c r="D20" s="311">
        <v>382.78686943999998</v>
      </c>
      <c r="E20" s="311">
        <v>822.24138358000005</v>
      </c>
      <c r="F20" s="302">
        <f t="shared" si="0"/>
        <v>1.1480396774918176</v>
      </c>
      <c r="G20" s="311">
        <v>577.92722834999995</v>
      </c>
      <c r="H20" s="311">
        <v>822.24138358000005</v>
      </c>
      <c r="I20" s="302">
        <f t="shared" si="1"/>
        <v>0.42274207416654264</v>
      </c>
      <c r="J20" s="311">
        <v>1007.74185282</v>
      </c>
      <c r="K20" s="311">
        <v>1110.4288461000001</v>
      </c>
      <c r="L20" s="311">
        <v>1185.15108792</v>
      </c>
      <c r="M20" s="312">
        <v>1336.7185412900001</v>
      </c>
      <c r="N20" t="str">
        <f t="shared" si="2"/>
        <v>SingaporeManufacture of electrical equipment (C27)</v>
      </c>
      <c r="O20" s="11">
        <f>INDEX('Base de dados IHS'!$A$1:$V$676,MATCH($N20,'Base de dados IHS'!$C$1:$C$676,0),MATCH($O$1,'Base de dados IHS'!$A$1:$V$1,0))</f>
        <v>331298.98374970001</v>
      </c>
      <c r="P20" s="11">
        <f>INDEX('Base de dados IHS'!$A$1:$V$676,MATCH($N20,'Base de dados IHS'!$C$1:$C$676,0),MATCH($P$1,'Base de dados IHS'!$A$1:$V$1,0))</f>
        <v>394237.177708</v>
      </c>
      <c r="Q20" s="131">
        <f>INDEX('Base de dados IHS'!$A$1:$V$676,MATCH($N20,'Base de dados IHS'!$C$1:$C$676,0),MATCH($Q$1,'Base de dados IHS'!$A$1:$V$1,0))</f>
        <v>1.7444280142634855E-3</v>
      </c>
      <c r="R20" s="131">
        <f>INDEX('Base de dados IHS'!$A$1:$V$676,MATCH($N20,'Base de dados IHS'!$C$1:$C$676,0),MATCH($R$1,'Base de dados IHS'!$A$1:$V$1,0))</f>
        <v>2.0856515571674732E-3</v>
      </c>
      <c r="S20" s="131">
        <f>INDEX('Base de dados IHS'!$A$1:$V$676,MATCH($N20,'Base de dados IHS'!$C$1:$C$676,0),MATCH($S$1,'Base de dados IHS'!$A$1:$V$1,0))</f>
        <v>3.412235429039877E-4</v>
      </c>
      <c r="T20" t="str">
        <f>IF(Q20&lt;'Cenario A ranking setor PIB'!$G$86,"N","Y")</f>
        <v>N</v>
      </c>
    </row>
    <row r="21" spans="1:20" hidden="1" x14ac:dyDescent="0.45">
      <c r="A21" s="293" t="s">
        <v>156</v>
      </c>
      <c r="B21" s="297" t="s">
        <v>5</v>
      </c>
      <c r="C21" s="297" t="s">
        <v>958</v>
      </c>
      <c r="D21" s="311">
        <v>592.32664351000005</v>
      </c>
      <c r="E21" s="311">
        <v>532.43865543000004</v>
      </c>
      <c r="F21" s="302">
        <f t="shared" si="0"/>
        <v>-0.10110635531286705</v>
      </c>
      <c r="G21" s="311">
        <v>459.46433385</v>
      </c>
      <c r="H21" s="311">
        <v>532.43865543000004</v>
      </c>
      <c r="I21" s="302">
        <f t="shared" si="1"/>
        <v>0.15882477964834529</v>
      </c>
      <c r="J21" s="311">
        <v>680.10509880999996</v>
      </c>
      <c r="K21" s="311">
        <v>686.83536936999997</v>
      </c>
      <c r="L21" s="311">
        <v>686.38872545000004</v>
      </c>
      <c r="M21" s="312">
        <v>684.02642450999997</v>
      </c>
      <c r="N21" t="str">
        <f t="shared" si="2"/>
        <v>GreeceManufacture of electrical equipment (C27)</v>
      </c>
      <c r="O21" s="11">
        <f>INDEX('Base de dados IHS'!$A$1:$V$676,MATCH($N21,'Base de dados IHS'!$C$1:$C$676,0),MATCH($O$1,'Base de dados IHS'!$A$1:$V$1,0))</f>
        <v>196841.83448053</v>
      </c>
      <c r="P21" s="11">
        <f>INDEX('Base de dados IHS'!$A$1:$V$676,MATCH($N21,'Base de dados IHS'!$C$1:$C$676,0),MATCH($P$1,'Base de dados IHS'!$A$1:$V$1,0))</f>
        <v>201121.93838619001</v>
      </c>
      <c r="Q21" s="131">
        <f>INDEX('Base de dados IHS'!$A$1:$V$676,MATCH($N21,'Base de dados IHS'!$C$1:$C$676,0),MATCH($Q$1,'Base de dados IHS'!$A$1:$V$1,0))</f>
        <v>2.3341803080759566E-3</v>
      </c>
      <c r="R21" s="131">
        <f>INDEX('Base de dados IHS'!$A$1:$V$676,MATCH($N21,'Base de dados IHS'!$C$1:$C$676,0),MATCH($R$1,'Base de dados IHS'!$A$1:$V$1,0))</f>
        <v>2.647342501282097E-3</v>
      </c>
      <c r="S21" s="131">
        <f>INDEX('Base de dados IHS'!$A$1:$V$676,MATCH($N21,'Base de dados IHS'!$C$1:$C$676,0),MATCH($S$1,'Base de dados IHS'!$A$1:$V$1,0))</f>
        <v>3.131621932061404E-4</v>
      </c>
      <c r="T21" t="str">
        <f>IF(Q21&lt;'Cenario A ranking setor PIB'!$G$86,"N","Y")</f>
        <v>N</v>
      </c>
    </row>
    <row r="22" spans="1:20" x14ac:dyDescent="0.45">
      <c r="A22" s="293" t="s">
        <v>126</v>
      </c>
      <c r="B22" s="297" t="s">
        <v>5</v>
      </c>
      <c r="C22" s="297" t="s">
        <v>958</v>
      </c>
      <c r="D22" s="311">
        <v>1828.3548992599999</v>
      </c>
      <c r="E22" s="311">
        <v>2039.6241031300001</v>
      </c>
      <c r="F22" s="302">
        <f t="shared" si="0"/>
        <v>0.11555152883912645</v>
      </c>
      <c r="G22" s="311">
        <v>1789.8319563099999</v>
      </c>
      <c r="H22" s="311">
        <v>2039.6241031300001</v>
      </c>
      <c r="I22" s="302">
        <f t="shared" si="1"/>
        <v>0.13956178731716418</v>
      </c>
      <c r="J22" s="311">
        <v>2397.0284557499999</v>
      </c>
      <c r="K22" s="311">
        <v>2687.1296297899999</v>
      </c>
      <c r="L22" s="311">
        <v>2897.2387264899999</v>
      </c>
      <c r="M22" s="312">
        <v>3436.5870812899998</v>
      </c>
      <c r="N22" t="str">
        <f t="shared" si="2"/>
        <v>FinlandManufacture of electrical equipment (C27)</v>
      </c>
      <c r="O22" s="11">
        <f>INDEX('Base de dados IHS'!$A$1:$V$676,MATCH($N22,'Base de dados IHS'!$C$1:$C$676,0),MATCH($O$1,'Base de dados IHS'!$A$1:$V$1,0))</f>
        <v>247207.29862345001</v>
      </c>
      <c r="P22" s="11">
        <f>INDEX('Base de dados IHS'!$A$1:$V$676,MATCH($N22,'Base de dados IHS'!$C$1:$C$676,0),MATCH($P$1,'Base de dados IHS'!$A$1:$V$1,0))</f>
        <v>270499.52733732999</v>
      </c>
      <c r="Q22" s="131">
        <f>INDEX('Base de dados IHS'!$A$1:$V$676,MATCH($N22,'Base de dados IHS'!$C$1:$C$676,0),MATCH($Q$1,'Base de dados IHS'!$A$1:$V$1,0))</f>
        <v>7.2402067668572347E-3</v>
      </c>
      <c r="R22" s="131">
        <f>INDEX('Base de dados IHS'!$A$1:$V$676,MATCH($N22,'Base de dados IHS'!$C$1:$C$676,0),MATCH($R$1,'Base de dados IHS'!$A$1:$V$1,0))</f>
        <v>7.5402131870879767E-3</v>
      </c>
      <c r="S22" s="131">
        <f>INDEX('Base de dados IHS'!$A$1:$V$676,MATCH($N22,'Base de dados IHS'!$C$1:$C$676,0),MATCH($S$1,'Base de dados IHS'!$A$1:$V$1,0))</f>
        <v>3.0000642023074193E-4</v>
      </c>
      <c r="T22" t="str">
        <f>IF(Q22&lt;'Cenario A ranking setor PIB'!$G$86,"N","Y")</f>
        <v>Y</v>
      </c>
    </row>
    <row r="23" spans="1:20" hidden="1" x14ac:dyDescent="0.45">
      <c r="A23" s="293" t="s">
        <v>124</v>
      </c>
      <c r="B23" s="297" t="s">
        <v>5</v>
      </c>
      <c r="C23" s="297" t="s">
        <v>958</v>
      </c>
      <c r="D23" s="311">
        <v>275.00730564999998</v>
      </c>
      <c r="E23" s="311">
        <v>745.80941623000001</v>
      </c>
      <c r="F23" s="302">
        <f t="shared" si="0"/>
        <v>1.7119621948486956</v>
      </c>
      <c r="G23" s="311">
        <v>437.10648305000001</v>
      </c>
      <c r="H23" s="311">
        <v>745.80941623000001</v>
      </c>
      <c r="I23" s="302">
        <f t="shared" si="1"/>
        <v>0.7062419459577951</v>
      </c>
      <c r="J23" s="311">
        <v>983.68083336999996</v>
      </c>
      <c r="K23" s="311">
        <v>1291.46088867</v>
      </c>
      <c r="L23" s="311">
        <v>1551.5344153200001</v>
      </c>
      <c r="M23" s="312">
        <v>2275.1303819499999</v>
      </c>
      <c r="N23" t="str">
        <f t="shared" si="2"/>
        <v>BangladeshManufacture of electrical equipment (C27)</v>
      </c>
      <c r="O23" s="11">
        <f>INDEX('Base de dados IHS'!$A$1:$V$676,MATCH($N23,'Base de dados IHS'!$C$1:$C$676,0),MATCH($O$1,'Base de dados IHS'!$A$1:$V$1,0))</f>
        <v>264392.25455249997</v>
      </c>
      <c r="P23" s="11">
        <f>INDEX('Base de dados IHS'!$A$1:$V$676,MATCH($N23,'Base de dados IHS'!$C$1:$C$676,0),MATCH($P$1,'Base de dados IHS'!$A$1:$V$1,0))</f>
        <v>386628.84638325998</v>
      </c>
      <c r="Q23" s="131">
        <f>INDEX('Base de dados IHS'!$A$1:$V$676,MATCH($N23,'Base de dados IHS'!$C$1:$C$676,0),MATCH($Q$1,'Base de dados IHS'!$A$1:$V$1,0))</f>
        <v>1.6532499554112485E-3</v>
      </c>
      <c r="R23" s="131">
        <f>INDEX('Base de dados IHS'!$A$1:$V$676,MATCH($N23,'Base de dados IHS'!$C$1:$C$676,0),MATCH($R$1,'Base de dados IHS'!$A$1:$V$1,0))</f>
        <v>1.929006133936238E-3</v>
      </c>
      <c r="S23" s="131">
        <f>INDEX('Base de dados IHS'!$A$1:$V$676,MATCH($N23,'Base de dados IHS'!$C$1:$C$676,0),MATCH($S$1,'Base de dados IHS'!$A$1:$V$1,0))</f>
        <v>2.7575617852498954E-4</v>
      </c>
      <c r="T23" t="str">
        <f>IF(Q23&lt;'Cenario A ranking setor PIB'!$G$86,"N","Y")</f>
        <v>N</v>
      </c>
    </row>
    <row r="24" spans="1:20" hidden="1" x14ac:dyDescent="0.45">
      <c r="A24" s="293" t="s">
        <v>116</v>
      </c>
      <c r="B24" s="297" t="s">
        <v>5</v>
      </c>
      <c r="C24" s="297" t="s">
        <v>958</v>
      </c>
      <c r="D24" s="311">
        <v>964.59450754</v>
      </c>
      <c r="E24" s="311">
        <v>1304.05669726</v>
      </c>
      <c r="F24" s="302">
        <f t="shared" si="0"/>
        <v>0.35192216736308035</v>
      </c>
      <c r="G24" s="311">
        <v>1055.17714785</v>
      </c>
      <c r="H24" s="311">
        <v>1304.05669726</v>
      </c>
      <c r="I24" s="302">
        <f t="shared" si="1"/>
        <v>0.23586518142201074</v>
      </c>
      <c r="J24" s="311">
        <v>1409.3485965</v>
      </c>
      <c r="K24" s="311">
        <v>1515.37881973</v>
      </c>
      <c r="L24" s="311">
        <v>1589.3724875299999</v>
      </c>
      <c r="M24" s="312">
        <v>1753.58737868</v>
      </c>
      <c r="N24" t="str">
        <f t="shared" si="2"/>
        <v>DenmarkManufacture of electrical equipment (C27)</v>
      </c>
      <c r="O24" s="11">
        <f>INDEX('Base de dados IHS'!$A$1:$V$676,MATCH($N24,'Base de dados IHS'!$C$1:$C$676,0),MATCH($O$1,'Base de dados IHS'!$A$1:$V$1,0))</f>
        <v>315318.76572541997</v>
      </c>
      <c r="P24" s="11">
        <f>INDEX('Base de dados IHS'!$A$1:$V$676,MATCH($N24,'Base de dados IHS'!$C$1:$C$676,0),MATCH($P$1,'Base de dados IHS'!$A$1:$V$1,0))</f>
        <v>361238.79673869</v>
      </c>
      <c r="Q24" s="131">
        <f>INDEX('Base de dados IHS'!$A$1:$V$676,MATCH($N24,'Base de dados IHS'!$C$1:$C$676,0),MATCH($Q$1,'Base de dados IHS'!$A$1:$V$1,0))</f>
        <v>3.3463823360543334E-3</v>
      </c>
      <c r="R24" s="131">
        <f>INDEX('Base de dados IHS'!$A$1:$V$676,MATCH($N24,'Base de dados IHS'!$C$1:$C$676,0),MATCH($R$1,'Base de dados IHS'!$A$1:$V$1,0))</f>
        <v>3.6099574825107115E-3</v>
      </c>
      <c r="S24" s="131">
        <f>INDEX('Base de dados IHS'!$A$1:$V$676,MATCH($N24,'Base de dados IHS'!$C$1:$C$676,0),MATCH($S$1,'Base de dados IHS'!$A$1:$V$1,0))</f>
        <v>2.6357514645637811E-4</v>
      </c>
      <c r="T24" t="str">
        <f>IF(Q24&lt;'Cenario A ranking setor PIB'!$G$86,"N","Y")</f>
        <v>N</v>
      </c>
    </row>
    <row r="25" spans="1:20" hidden="1" x14ac:dyDescent="0.45">
      <c r="A25" s="293" t="s">
        <v>153</v>
      </c>
      <c r="B25" s="297" t="s">
        <v>5</v>
      </c>
      <c r="C25" s="297" t="s">
        <v>958</v>
      </c>
      <c r="D25" s="311">
        <v>268.95646783000001</v>
      </c>
      <c r="E25" s="311">
        <v>410.03766687000001</v>
      </c>
      <c r="F25" s="302">
        <f t="shared" si="0"/>
        <v>0.52455031172246636</v>
      </c>
      <c r="G25" s="311">
        <v>368.19399331</v>
      </c>
      <c r="H25" s="311">
        <v>410.03766687000001</v>
      </c>
      <c r="I25" s="302">
        <f t="shared" si="1"/>
        <v>0.1136457256780119</v>
      </c>
      <c r="J25" s="311">
        <v>479.67476154000002</v>
      </c>
      <c r="K25" s="311">
        <v>534.48340671000005</v>
      </c>
      <c r="L25" s="311">
        <v>563.05130548</v>
      </c>
      <c r="M25" s="312">
        <v>634.66942343999995</v>
      </c>
      <c r="N25" t="str">
        <f t="shared" si="2"/>
        <v>OmanManufacture of electrical equipment (C27)</v>
      </c>
      <c r="O25" s="11">
        <f>INDEX('Base de dados IHS'!$A$1:$V$676,MATCH($N25,'Base de dados IHS'!$C$1:$C$676,0),MATCH($O$1,'Base de dados IHS'!$A$1:$V$1,0))</f>
        <v>83456.391863790006</v>
      </c>
      <c r="P25" s="11">
        <f>INDEX('Base de dados IHS'!$A$1:$V$676,MATCH($N25,'Base de dados IHS'!$C$1:$C$676,0),MATCH($P$1,'Base de dados IHS'!$A$1:$V$1,0))</f>
        <v>87715.792114070005</v>
      </c>
      <c r="Q25" s="131">
        <f>INDEX('Base de dados IHS'!$A$1:$V$676,MATCH($N25,'Base de dados IHS'!$C$1:$C$676,0),MATCH($Q$1,'Base de dados IHS'!$A$1:$V$1,0))</f>
        <v>4.4118129850489228E-3</v>
      </c>
      <c r="R25" s="131">
        <f>INDEX('Base de dados IHS'!$A$1:$V$676,MATCH($N25,'Base de dados IHS'!$C$1:$C$676,0),MATCH($R$1,'Base de dados IHS'!$A$1:$V$1,0))</f>
        <v>4.6746162462600405E-3</v>
      </c>
      <c r="S25" s="131">
        <f>INDEX('Base de dados IHS'!$A$1:$V$676,MATCH($N25,'Base de dados IHS'!$C$1:$C$676,0),MATCH($S$1,'Base de dados IHS'!$A$1:$V$1,0))</f>
        <v>2.6280326121111766E-4</v>
      </c>
      <c r="T25" t="str">
        <f>IF(Q25&lt;'Cenario A ranking setor PIB'!$G$86,"N","Y")</f>
        <v>N</v>
      </c>
    </row>
    <row r="26" spans="1:20" hidden="1" x14ac:dyDescent="0.45">
      <c r="A26" s="293" t="s">
        <v>154</v>
      </c>
      <c r="B26" s="297" t="s">
        <v>5</v>
      </c>
      <c r="C26" s="297" t="s">
        <v>958</v>
      </c>
      <c r="D26" s="311">
        <v>421.09458483999998</v>
      </c>
      <c r="E26" s="311">
        <v>773.09660479000001</v>
      </c>
      <c r="F26" s="302">
        <f t="shared" si="0"/>
        <v>0.83592150700239354</v>
      </c>
      <c r="G26" s="311">
        <v>559.43543557999999</v>
      </c>
      <c r="H26" s="311">
        <v>773.09660479000001</v>
      </c>
      <c r="I26" s="302">
        <f t="shared" si="1"/>
        <v>0.38192283795624205</v>
      </c>
      <c r="J26" s="311">
        <v>885.69018246999997</v>
      </c>
      <c r="K26" s="311">
        <v>1095.3686683599999</v>
      </c>
      <c r="L26" s="311">
        <v>1265.9449070999999</v>
      </c>
      <c r="M26" s="312">
        <v>1765.53356029</v>
      </c>
      <c r="N26" t="str">
        <f t="shared" si="2"/>
        <v>PakistanManufacture of electrical equipment (C27)</v>
      </c>
      <c r="O26" s="11">
        <f>INDEX('Base de dados IHS'!$A$1:$V$676,MATCH($N26,'Base de dados IHS'!$C$1:$C$676,0),MATCH($O$1,'Base de dados IHS'!$A$1:$V$1,0))</f>
        <v>243681.57424943999</v>
      </c>
      <c r="P26" s="11">
        <f>INDEX('Base de dados IHS'!$A$1:$V$676,MATCH($N26,'Base de dados IHS'!$C$1:$C$676,0),MATCH($P$1,'Base de dados IHS'!$A$1:$V$1,0))</f>
        <v>307178.14587732003</v>
      </c>
      <c r="Q26" s="131">
        <f>INDEX('Base de dados IHS'!$A$1:$V$676,MATCH($N26,'Base de dados IHS'!$C$1:$C$676,0),MATCH($Q$1,'Base de dados IHS'!$A$1:$V$1,0))</f>
        <v>2.2957642050003527E-3</v>
      </c>
      <c r="R26" s="131">
        <f>INDEX('Base de dados IHS'!$A$1:$V$676,MATCH($N26,'Base de dados IHS'!$C$1:$C$676,0),MATCH($R$1,'Base de dados IHS'!$A$1:$V$1,0))</f>
        <v>2.516769552671098E-3</v>
      </c>
      <c r="S26" s="131">
        <f>INDEX('Base de dados IHS'!$A$1:$V$676,MATCH($N26,'Base de dados IHS'!$C$1:$C$676,0),MATCH($S$1,'Base de dados IHS'!$A$1:$V$1,0))</f>
        <v>2.210053476707453E-4</v>
      </c>
      <c r="T26" t="str">
        <f>IF(Q26&lt;'Cenario A ranking setor PIB'!$G$86,"N","Y")</f>
        <v>N</v>
      </c>
    </row>
    <row r="27" spans="1:20" hidden="1" x14ac:dyDescent="0.45">
      <c r="A27" s="293" t="s">
        <v>76</v>
      </c>
      <c r="B27" s="297" t="s">
        <v>5</v>
      </c>
      <c r="C27" s="297" t="s">
        <v>958</v>
      </c>
      <c r="D27" s="311">
        <v>5298.7017397999998</v>
      </c>
      <c r="E27" s="311">
        <v>6185.6390057299996</v>
      </c>
      <c r="F27" s="302">
        <f t="shared" si="0"/>
        <v>0.16738765635136077</v>
      </c>
      <c r="G27" s="311">
        <v>5540.1205353599998</v>
      </c>
      <c r="H27" s="311">
        <v>6185.6390057299996</v>
      </c>
      <c r="I27" s="302">
        <f t="shared" si="1"/>
        <v>0.1165170443946042</v>
      </c>
      <c r="J27" s="311">
        <v>5073.8214386600002</v>
      </c>
      <c r="K27" s="311">
        <v>5338.5599770299996</v>
      </c>
      <c r="L27" s="311">
        <v>5531.5709186200002</v>
      </c>
      <c r="M27" s="312">
        <v>6065.7664809500002</v>
      </c>
      <c r="N27" t="str">
        <f t="shared" si="2"/>
        <v>United KingdomManufacture of electrical equipment (C27)</v>
      </c>
      <c r="O27" s="11">
        <f>INDEX('Base de dados IHS'!$A$1:$V$676,MATCH($N27,'Base de dados IHS'!$C$1:$C$676,0),MATCH($O$1,'Base de dados IHS'!$A$1:$V$1,0))</f>
        <v>2643868.3114987002</v>
      </c>
      <c r="P27" s="11">
        <f>INDEX('Base de dados IHS'!$A$1:$V$676,MATCH($N27,'Base de dados IHS'!$C$1:$C$676,0),MATCH($P$1,'Base de dados IHS'!$A$1:$V$1,0))</f>
        <v>2777419.6130784</v>
      </c>
      <c r="Q27" s="131">
        <f>INDEX('Base de dados IHS'!$A$1:$V$676,MATCH($N27,'Base de dados IHS'!$C$1:$C$676,0),MATCH($Q$1,'Base de dados IHS'!$A$1:$V$1,0))</f>
        <v>2.0954600920420024E-3</v>
      </c>
      <c r="R27" s="131">
        <f>INDEX('Base de dados IHS'!$A$1:$V$676,MATCH($N27,'Base de dados IHS'!$C$1:$C$676,0),MATCH($R$1,'Base de dados IHS'!$A$1:$V$1,0))</f>
        <v>2.2271172049779116E-3</v>
      </c>
      <c r="S27" s="131">
        <f>INDEX('Base de dados IHS'!$A$1:$V$676,MATCH($N27,'Base de dados IHS'!$C$1:$C$676,0),MATCH($S$1,'Base de dados IHS'!$A$1:$V$1,0))</f>
        <v>1.3165711293590919E-4</v>
      </c>
      <c r="T27" t="str">
        <f>IF(Q27&lt;'Cenario A ranking setor PIB'!$G$86,"N","Y")</f>
        <v>N</v>
      </c>
    </row>
    <row r="28" spans="1:20" hidden="1" x14ac:dyDescent="0.45">
      <c r="A28" s="293" t="s">
        <v>143</v>
      </c>
      <c r="B28" s="297" t="s">
        <v>5</v>
      </c>
      <c r="C28" s="297" t="s">
        <v>958</v>
      </c>
      <c r="D28" s="311">
        <v>666.95148927000002</v>
      </c>
      <c r="E28" s="311">
        <v>996.88613132</v>
      </c>
      <c r="F28" s="302">
        <f t="shared" si="0"/>
        <v>0.49469061447201224</v>
      </c>
      <c r="G28" s="311">
        <v>873.03399232000004</v>
      </c>
      <c r="H28" s="311">
        <v>996.88613132</v>
      </c>
      <c r="I28" s="302">
        <f t="shared" si="1"/>
        <v>0.14186405121623658</v>
      </c>
      <c r="J28" s="311">
        <v>1169.9209065299999</v>
      </c>
      <c r="K28" s="311">
        <v>1318.59112553</v>
      </c>
      <c r="L28" s="311">
        <v>1436.04941678</v>
      </c>
      <c r="M28" s="312">
        <v>1725.29210117</v>
      </c>
      <c r="N28" t="str">
        <f t="shared" si="2"/>
        <v>United Arab EmiratesManufacture of electrical equipment (C27)</v>
      </c>
      <c r="O28" s="11">
        <f>INDEX('Base de dados IHS'!$A$1:$V$676,MATCH($N28,'Base de dados IHS'!$C$1:$C$676,0),MATCH($O$1,'Base de dados IHS'!$A$1:$V$1,0))</f>
        <v>383753.13090967003</v>
      </c>
      <c r="P28" s="11">
        <f>INDEX('Base de dados IHS'!$A$1:$V$676,MATCH($N28,'Base de dados IHS'!$C$1:$C$676,0),MATCH($P$1,'Base de dados IHS'!$A$1:$V$1,0))</f>
        <v>414599.77007557999</v>
      </c>
      <c r="Q28" s="131">
        <f>INDEX('Base de dados IHS'!$A$1:$V$676,MATCH($N28,'Base de dados IHS'!$C$1:$C$676,0),MATCH($Q$1,'Base de dados IHS'!$A$1:$V$1,0))</f>
        <v>2.2749885851107224E-3</v>
      </c>
      <c r="R28" s="131">
        <f>INDEX('Base de dados IHS'!$A$1:$V$676,MATCH($N28,'Base de dados IHS'!$C$1:$C$676,0),MATCH($R$1,'Base de dados IHS'!$A$1:$V$1,0))</f>
        <v>2.4044541344976421E-3</v>
      </c>
      <c r="S28" s="131">
        <f>INDEX('Base de dados IHS'!$A$1:$V$676,MATCH($N28,'Base de dados IHS'!$C$1:$C$676,0),MATCH($S$1,'Base de dados IHS'!$A$1:$V$1,0))</f>
        <v>1.2946554938691969E-4</v>
      </c>
      <c r="T28" t="str">
        <f>IF(Q28&lt;'Cenario A ranking setor PIB'!$G$86,"N","Y")</f>
        <v>N</v>
      </c>
    </row>
    <row r="29" spans="1:20" x14ac:dyDescent="0.45">
      <c r="A29" s="293" t="s">
        <v>122</v>
      </c>
      <c r="B29" s="297" t="s">
        <v>5</v>
      </c>
      <c r="C29" s="297" t="s">
        <v>958</v>
      </c>
      <c r="D29" s="311">
        <v>2082.4525617899999</v>
      </c>
      <c r="E29" s="311">
        <v>3341.9106553699999</v>
      </c>
      <c r="F29" s="302">
        <f t="shared" si="0"/>
        <v>0.60479557454956656</v>
      </c>
      <c r="G29" s="311">
        <v>2383.2763154899999</v>
      </c>
      <c r="H29" s="311">
        <v>3341.9106553699999</v>
      </c>
      <c r="I29" s="302">
        <f t="shared" si="1"/>
        <v>0.40223382142028519</v>
      </c>
      <c r="J29" s="311">
        <v>4529.2794472200003</v>
      </c>
      <c r="K29" s="311">
        <v>6203.5990212999995</v>
      </c>
      <c r="L29" s="311">
        <v>7756.99238229</v>
      </c>
      <c r="M29" s="312">
        <v>12400.54969596</v>
      </c>
      <c r="N29" t="str">
        <f t="shared" si="2"/>
        <v>VietnamManufacture of electrical equipment (C27)</v>
      </c>
      <c r="O29" s="11">
        <f>INDEX('Base de dados IHS'!$A$1:$V$676,MATCH($N29,'Base de dados IHS'!$C$1:$C$676,0),MATCH($O$1,'Base de dados IHS'!$A$1:$V$1,0))</f>
        <v>254018.52751081</v>
      </c>
      <c r="P29" s="11">
        <f>INDEX('Base de dados IHS'!$A$1:$V$676,MATCH($N29,'Base de dados IHS'!$C$1:$C$676,0),MATCH($P$1,'Base de dados IHS'!$A$1:$V$1,0))</f>
        <v>352775.42056751001</v>
      </c>
      <c r="Q29" s="131">
        <f>INDEX('Base de dados IHS'!$A$1:$V$676,MATCH($N29,'Base de dados IHS'!$C$1:$C$676,0),MATCH($Q$1,'Base de dados IHS'!$A$1:$V$1,0))</f>
        <v>9.3822932478363312E-3</v>
      </c>
      <c r="R29" s="131">
        <f>INDEX('Base de dados IHS'!$A$1:$V$676,MATCH($N29,'Base de dados IHS'!$C$1:$C$676,0),MATCH($R$1,'Base de dados IHS'!$A$1:$V$1,0))</f>
        <v>9.4731958649326153E-3</v>
      </c>
      <c r="S29" s="131">
        <f>INDEX('Base de dados IHS'!$A$1:$V$676,MATCH($N29,'Base de dados IHS'!$C$1:$C$676,0),MATCH($S$1,'Base de dados IHS'!$A$1:$V$1,0))</f>
        <v>9.0902617096284138E-5</v>
      </c>
      <c r="T29" t="str">
        <f>IF(Q29&lt;'Cenario A ranking setor PIB'!$G$86,"N","Y")</f>
        <v>Y</v>
      </c>
    </row>
    <row r="30" spans="1:20" hidden="1" x14ac:dyDescent="0.45">
      <c r="A30" s="293" t="s">
        <v>174</v>
      </c>
      <c r="B30" s="297" t="s">
        <v>5</v>
      </c>
      <c r="C30" s="297" t="s">
        <v>958</v>
      </c>
      <c r="D30" s="311">
        <v>114.75401136000001</v>
      </c>
      <c r="E30" s="311">
        <v>195.09953038</v>
      </c>
      <c r="F30" s="302">
        <f t="shared" si="0"/>
        <v>0.7001543394238694</v>
      </c>
      <c r="G30" s="311">
        <v>167.20380182</v>
      </c>
      <c r="H30" s="311">
        <v>195.09953038</v>
      </c>
      <c r="I30" s="302">
        <f t="shared" si="1"/>
        <v>0.1668366882592216</v>
      </c>
      <c r="J30" s="311">
        <v>182.32394672000001</v>
      </c>
      <c r="K30" s="311">
        <v>211.55561291999999</v>
      </c>
      <c r="L30" s="311">
        <v>235.26399609000001</v>
      </c>
      <c r="M30" s="312">
        <v>294.40025908000001</v>
      </c>
      <c r="N30" t="str">
        <f t="shared" si="2"/>
        <v>Sri LankaManufacture of electrical equipment (C27)</v>
      </c>
      <c r="O30" s="11">
        <f>INDEX('Base de dados IHS'!$A$1:$V$676,MATCH($N30,'Base de dados IHS'!$C$1:$C$676,0),MATCH($O$1,'Base de dados IHS'!$A$1:$V$1,0))</f>
        <v>77969.257644440004</v>
      </c>
      <c r="P30" s="11">
        <f>INDEX('Base de dados IHS'!$A$1:$V$676,MATCH($N30,'Base de dados IHS'!$C$1:$C$676,0),MATCH($P$1,'Base de dados IHS'!$A$1:$V$1,0))</f>
        <v>87884.425158479993</v>
      </c>
      <c r="Q30" s="131">
        <f>INDEX('Base de dados IHS'!$A$1:$V$676,MATCH($N30,'Base de dados IHS'!$C$1:$C$676,0),MATCH($Q$1,'Base de dados IHS'!$A$1:$V$1,0))</f>
        <v>2.1444836961574342E-3</v>
      </c>
      <c r="R30" s="131">
        <f>INDEX('Base de dados IHS'!$A$1:$V$676,MATCH($N30,'Base de dados IHS'!$C$1:$C$676,0),MATCH($R$1,'Base de dados IHS'!$A$1:$V$1,0))</f>
        <v>2.2199556978176899E-3</v>
      </c>
      <c r="S30" s="131">
        <f>INDEX('Base de dados IHS'!$A$1:$V$676,MATCH($N30,'Base de dados IHS'!$C$1:$C$676,0),MATCH($S$1,'Base de dados IHS'!$A$1:$V$1,0))</f>
        <v>7.5472001660255739E-5</v>
      </c>
      <c r="T30" t="str">
        <f>IF(Q30&lt;'Cenario A ranking setor PIB'!$G$86,"N","Y")</f>
        <v>N</v>
      </c>
    </row>
    <row r="31" spans="1:20" hidden="1" x14ac:dyDescent="0.45">
      <c r="A31" s="293" t="s">
        <v>159</v>
      </c>
      <c r="B31" s="297" t="s">
        <v>5</v>
      </c>
      <c r="C31" s="297" t="s">
        <v>958</v>
      </c>
      <c r="D31" s="311">
        <v>286.37380037000003</v>
      </c>
      <c r="E31" s="311">
        <v>272.25561965000003</v>
      </c>
      <c r="F31" s="302">
        <f t="shared" si="0"/>
        <v>-4.9299833650142122E-2</v>
      </c>
      <c r="G31" s="311">
        <v>283.97339700999999</v>
      </c>
      <c r="H31" s="311">
        <v>272.25561965000003</v>
      </c>
      <c r="I31" s="302">
        <f t="shared" si="1"/>
        <v>-4.1263644705378244E-2</v>
      </c>
      <c r="J31" s="311">
        <v>341.76556476000002</v>
      </c>
      <c r="K31" s="311">
        <v>362.8756454</v>
      </c>
      <c r="L31" s="311">
        <v>368.67225990999998</v>
      </c>
      <c r="M31" s="312">
        <v>382.59551034999998</v>
      </c>
      <c r="N31" t="str">
        <f t="shared" si="2"/>
        <v>KuwaitManufacture of electrical equipment (C27)</v>
      </c>
      <c r="O31" s="11">
        <f>INDEX('Base de dados IHS'!$A$1:$V$676,MATCH($N31,'Base de dados IHS'!$C$1:$C$676,0),MATCH($O$1,'Base de dados IHS'!$A$1:$V$1,0))</f>
        <v>136318.13330372999</v>
      </c>
      <c r="P31" s="11">
        <f>INDEX('Base de dados IHS'!$A$1:$V$676,MATCH($N31,'Base de dados IHS'!$C$1:$C$676,0),MATCH($P$1,'Base de dados IHS'!$A$1:$V$1,0))</f>
        <v>128320.86664452001</v>
      </c>
      <c r="Q31" s="131">
        <f>INDEX('Base de dados IHS'!$A$1:$V$676,MATCH($N31,'Base de dados IHS'!$C$1:$C$676,0),MATCH($Q$1,'Base de dados IHS'!$A$1:$V$1,0))</f>
        <v>2.0831667081097696E-3</v>
      </c>
      <c r="R31" s="131">
        <f>INDEX('Base de dados IHS'!$A$1:$V$676,MATCH($N31,'Base de dados IHS'!$C$1:$C$676,0),MATCH($R$1,'Base de dados IHS'!$A$1:$V$1,0))</f>
        <v>2.1216784671834726E-3</v>
      </c>
      <c r="S31" s="131">
        <f>INDEX('Base de dados IHS'!$A$1:$V$676,MATCH($N31,'Base de dados IHS'!$C$1:$C$676,0),MATCH($S$1,'Base de dados IHS'!$A$1:$V$1,0))</f>
        <v>3.8511759073702953E-5</v>
      </c>
      <c r="T31" t="str">
        <f>IF(Q31&lt;'Cenario A ranking setor PIB'!$G$86,"N","Y")</f>
        <v>N</v>
      </c>
    </row>
    <row r="32" spans="1:20" hidden="1" x14ac:dyDescent="0.45">
      <c r="A32" s="293" t="s">
        <v>161</v>
      </c>
      <c r="B32" s="297" t="s">
        <v>5</v>
      </c>
      <c r="C32" s="297" t="s">
        <v>958</v>
      </c>
      <c r="D32" s="311">
        <v>583.07639390999998</v>
      </c>
      <c r="E32" s="311">
        <v>714.07301906999999</v>
      </c>
      <c r="F32" s="302">
        <f t="shared" si="0"/>
        <v>0.22466460060501059</v>
      </c>
      <c r="G32" s="311">
        <v>658.71084968000002</v>
      </c>
      <c r="H32" s="311">
        <v>714.07301906999999</v>
      </c>
      <c r="I32" s="302">
        <f t="shared" si="1"/>
        <v>8.4046238826785302E-2</v>
      </c>
      <c r="J32" s="311">
        <v>749.21029613999997</v>
      </c>
      <c r="K32" s="311">
        <v>795.53293281000003</v>
      </c>
      <c r="L32" s="311">
        <v>835.25616009999999</v>
      </c>
      <c r="M32" s="312">
        <v>916.13676081000006</v>
      </c>
      <c r="N32" t="str">
        <f t="shared" si="2"/>
        <v>PortugalManufacture of electrical equipment (C27)</v>
      </c>
      <c r="O32" s="11">
        <f>INDEX('Base de dados IHS'!$A$1:$V$676,MATCH($N32,'Base de dados IHS'!$C$1:$C$676,0),MATCH($O$1,'Base de dados IHS'!$A$1:$V$1,0))</f>
        <v>215192.52938671</v>
      </c>
      <c r="P32" s="11">
        <f>INDEX('Base de dados IHS'!$A$1:$V$676,MATCH($N32,'Base de dados IHS'!$C$1:$C$676,0),MATCH($P$1,'Base de dados IHS'!$A$1:$V$1,0))</f>
        <v>232686.90641277001</v>
      </c>
      <c r="Q32" s="131">
        <f>INDEX('Base de dados IHS'!$A$1:$V$676,MATCH($N32,'Base de dados IHS'!$C$1:$C$676,0),MATCH($Q$1,'Base de dados IHS'!$A$1:$V$1,0))</f>
        <v>3.0610302855647417E-3</v>
      </c>
      <c r="R32" s="131">
        <f>INDEX('Base de dados IHS'!$A$1:$V$676,MATCH($N32,'Base de dados IHS'!$C$1:$C$676,0),MATCH($R$1,'Base de dados IHS'!$A$1:$V$1,0))</f>
        <v>3.0688147866957554E-3</v>
      </c>
      <c r="S32" s="131">
        <f>INDEX('Base de dados IHS'!$A$1:$V$676,MATCH($N32,'Base de dados IHS'!$C$1:$C$676,0),MATCH($S$1,'Base de dados IHS'!$A$1:$V$1,0))</f>
        <v>7.7845011310136852E-6</v>
      </c>
      <c r="T32" t="str">
        <f>IF(Q32&lt;'Cenario A ranking setor PIB'!$G$86,"N","Y")</f>
        <v>N</v>
      </c>
    </row>
    <row r="33" spans="1:20" hidden="1" x14ac:dyDescent="0.45">
      <c r="A33" s="293" t="s">
        <v>171</v>
      </c>
      <c r="B33" s="297" t="s">
        <v>5</v>
      </c>
      <c r="C33" s="297" t="s">
        <v>958</v>
      </c>
      <c r="D33" s="311">
        <v>5.6938824800000001</v>
      </c>
      <c r="E33" s="311">
        <v>8.7181390299999997</v>
      </c>
      <c r="F33" s="302">
        <f t="shared" si="0"/>
        <v>0.53114137157253016</v>
      </c>
      <c r="G33" s="311">
        <v>7.04263847</v>
      </c>
      <c r="H33" s="311">
        <v>8.7181390299999997</v>
      </c>
      <c r="I33" s="302">
        <f t="shared" si="1"/>
        <v>0.23790807481276266</v>
      </c>
      <c r="J33" s="311">
        <v>11.13453679</v>
      </c>
      <c r="K33" s="311">
        <v>13.185393660000001</v>
      </c>
      <c r="L33" s="311">
        <v>14.537357289999999</v>
      </c>
      <c r="M33" s="312">
        <v>17.96038587</v>
      </c>
      <c r="N33" t="str">
        <f t="shared" si="2"/>
        <v>CameroonManufacture of electrical equipment (C27)</v>
      </c>
      <c r="O33" s="11">
        <f>INDEX('Base de dados IHS'!$A$1:$V$676,MATCH($N33,'Base de dados IHS'!$C$1:$C$676,0),MATCH($O$1,'Base de dados IHS'!$A$1:$V$1,0))</f>
        <v>34069.891642009999</v>
      </c>
      <c r="P33" s="11">
        <f>INDEX('Base de dados IHS'!$A$1:$V$676,MATCH($N33,'Base de dados IHS'!$C$1:$C$676,0),MATCH($P$1,'Base de dados IHS'!$A$1:$V$1,0))</f>
        <v>41316.84413338</v>
      </c>
      <c r="Q33" s="131">
        <f>INDEX('Base de dados IHS'!$A$1:$V$676,MATCH($N33,'Base de dados IHS'!$C$1:$C$676,0),MATCH($Q$1,'Base de dados IHS'!$A$1:$V$1,0))</f>
        <v>2.0671150187387299E-4</v>
      </c>
      <c r="R33" s="131">
        <f>INDEX('Base de dados IHS'!$A$1:$V$676,MATCH($N33,'Base de dados IHS'!$C$1:$C$676,0),MATCH($R$1,'Base de dados IHS'!$A$1:$V$1,0))</f>
        <v>2.1100689592496222E-4</v>
      </c>
      <c r="S33" s="131">
        <f>INDEX('Base de dados IHS'!$A$1:$V$676,MATCH($N33,'Base de dados IHS'!$C$1:$C$676,0),MATCH($S$1,'Base de dados IHS'!$A$1:$V$1,0))</f>
        <v>4.2953940510892291E-6</v>
      </c>
      <c r="T33" t="str">
        <f>IF(Q33&lt;'Cenario A ranking setor PIB'!$G$86,"N","Y")</f>
        <v>N</v>
      </c>
    </row>
    <row r="34" spans="1:20" hidden="1" x14ac:dyDescent="0.45">
      <c r="A34" s="293" t="s">
        <v>127</v>
      </c>
      <c r="B34" s="297" t="s">
        <v>5</v>
      </c>
      <c r="C34" s="297" t="s">
        <v>958</v>
      </c>
      <c r="D34" s="311">
        <v>482.25747224999998</v>
      </c>
      <c r="E34" s="311">
        <v>506.64898500999999</v>
      </c>
      <c r="F34" s="302">
        <f t="shared" ref="F34:F65" si="3">H34/D34-1</f>
        <v>5.0577780881652323E-2</v>
      </c>
      <c r="G34" s="311">
        <v>323.36044679999998</v>
      </c>
      <c r="H34" s="311">
        <v>506.64898500999999</v>
      </c>
      <c r="I34" s="302">
        <f t="shared" ref="I34:I65" si="4">H34/G34-1</f>
        <v>0.56682423599991139</v>
      </c>
      <c r="J34" s="311">
        <v>628.59497326999997</v>
      </c>
      <c r="K34" s="311">
        <v>712.00261290000003</v>
      </c>
      <c r="L34" s="311">
        <v>773.84593180000002</v>
      </c>
      <c r="M34" s="312">
        <v>930.89513994000004</v>
      </c>
      <c r="N34" t="str">
        <f t="shared" ref="N34:N65" si="5">A34&amp;B34</f>
        <v>IrelandManufacture of electrical equipment (C27)</v>
      </c>
      <c r="O34" s="11">
        <f>INDEX('Base de dados IHS'!$A$1:$V$676,MATCH($N34,'Base de dados IHS'!$C$1:$C$676,0),MATCH($O$1,'Base de dados IHS'!$A$1:$V$1,0))</f>
        <v>308812.05776281998</v>
      </c>
      <c r="P34" s="11">
        <f>INDEX('Base de dados IHS'!$A$1:$V$676,MATCH($N34,'Base de dados IHS'!$C$1:$C$676,0),MATCH($P$1,'Base de dados IHS'!$A$1:$V$1,0))</f>
        <v>483748.84960921999</v>
      </c>
      <c r="Q34" s="131">
        <f>INDEX('Base de dados IHS'!$A$1:$V$676,MATCH($N34,'Base de dados IHS'!$C$1:$C$676,0),MATCH($Q$1,'Base de dados IHS'!$A$1:$V$1,0))</f>
        <v>1.0471108192554896E-3</v>
      </c>
      <c r="R34" s="131">
        <f>INDEX('Base de dados IHS'!$A$1:$V$676,MATCH($N34,'Base de dados IHS'!$C$1:$C$676,0),MATCH($R$1,'Base de dados IHS'!$A$1:$V$1,0))</f>
        <v>1.047338893765389E-3</v>
      </c>
      <c r="S34" s="131">
        <f>INDEX('Base de dados IHS'!$A$1:$V$676,MATCH($N34,'Base de dados IHS'!$C$1:$C$676,0),MATCH($S$1,'Base de dados IHS'!$A$1:$V$1,0))</f>
        <v>2.2807450989945598E-7</v>
      </c>
      <c r="T34" t="str">
        <f>IF(Q34&lt;'Cenario A ranking setor PIB'!$G$86,"N","Y")</f>
        <v>N</v>
      </c>
    </row>
    <row r="35" spans="1:20" hidden="1" x14ac:dyDescent="0.45">
      <c r="A35" s="293" t="s">
        <v>102</v>
      </c>
      <c r="B35" s="297" t="s">
        <v>5</v>
      </c>
      <c r="C35" s="297" t="s">
        <v>958</v>
      </c>
      <c r="D35" s="311">
        <v>4.0073605399999996</v>
      </c>
      <c r="E35" s="311">
        <v>6.0466839300000004</v>
      </c>
      <c r="F35" s="302">
        <f t="shared" si="3"/>
        <v>0.50889441307918881</v>
      </c>
      <c r="G35" s="311">
        <v>6.7557576900000003</v>
      </c>
      <c r="H35" s="311">
        <v>6.0466839300000004</v>
      </c>
      <c r="I35" s="302">
        <f t="shared" si="4"/>
        <v>-0.10495843583164388</v>
      </c>
      <c r="J35" s="311">
        <v>6.6040942999999999</v>
      </c>
      <c r="K35" s="311">
        <v>7.30337806</v>
      </c>
      <c r="L35" s="311">
        <v>7.9532910000000001</v>
      </c>
      <c r="M35" s="312">
        <v>9.5091133400000007</v>
      </c>
      <c r="N35" t="str">
        <f t="shared" si="5"/>
        <v>NigeriaManufacture of electrical equipment (C27)</v>
      </c>
      <c r="O35" s="11">
        <f>INDEX('Base de dados IHS'!$A$1:$V$676,MATCH($N35,'Base de dados IHS'!$C$1:$C$676,0),MATCH($O$1,'Base de dados IHS'!$A$1:$V$1,0))</f>
        <v>460034.71302222001</v>
      </c>
      <c r="P35" s="11">
        <f>INDEX('Base de dados IHS'!$A$1:$V$676,MATCH($N35,'Base de dados IHS'!$C$1:$C$676,0),MATCH($P$1,'Base de dados IHS'!$A$1:$V$1,0))</f>
        <v>483780.49839321</v>
      </c>
      <c r="Q35" s="131">
        <f>INDEX('Base de dados IHS'!$A$1:$V$676,MATCH($N35,'Base de dados IHS'!$C$1:$C$676,0),MATCH($Q$1,'Base de dados IHS'!$A$1:$V$1,0))</f>
        <v>1.4685321561100742E-5</v>
      </c>
      <c r="R35" s="131">
        <f>INDEX('Base de dados IHS'!$A$1:$V$676,MATCH($N35,'Base de dados IHS'!$C$1:$C$676,0),MATCH($R$1,'Base de dados IHS'!$A$1:$V$1,0))</f>
        <v>1.2498817025661379E-5</v>
      </c>
      <c r="S35" s="131">
        <f>INDEX('Base de dados IHS'!$A$1:$V$676,MATCH($N35,'Base de dados IHS'!$C$1:$C$676,0),MATCH($S$1,'Base de dados IHS'!$A$1:$V$1,0))</f>
        <v>-2.186504535439363E-6</v>
      </c>
      <c r="T35" t="str">
        <f>IF(Q35&lt;'Cenario A ranking setor PIB'!$G$86,"N","Y")</f>
        <v>N</v>
      </c>
    </row>
    <row r="36" spans="1:20" hidden="1" x14ac:dyDescent="0.45">
      <c r="A36" s="293" t="s">
        <v>105</v>
      </c>
      <c r="B36" s="297" t="s">
        <v>5</v>
      </c>
      <c r="C36" s="297" t="s">
        <v>958</v>
      </c>
      <c r="D36" s="311">
        <v>2304.77730724</v>
      </c>
      <c r="E36" s="311">
        <v>2945.2897153399999</v>
      </c>
      <c r="F36" s="302">
        <f t="shared" si="3"/>
        <v>0.27790641902276514</v>
      </c>
      <c r="G36" s="311">
        <v>2786.9222413900002</v>
      </c>
      <c r="H36" s="311">
        <v>2945.2897153399999</v>
      </c>
      <c r="I36" s="302">
        <f t="shared" si="4"/>
        <v>5.682522160037462E-2</v>
      </c>
      <c r="J36" s="311">
        <v>3330.12239241</v>
      </c>
      <c r="K36" s="311">
        <v>3682.0374566099999</v>
      </c>
      <c r="L36" s="311">
        <v>4117.6048013500003</v>
      </c>
      <c r="M36" s="312">
        <v>4956.9278401199999</v>
      </c>
      <c r="N36" t="str">
        <f t="shared" si="5"/>
        <v>Saudi ArabiaManufacture of electrical equipment (C27)</v>
      </c>
      <c r="O36" s="11">
        <f>INDEX('Base de dados IHS'!$A$1:$V$676,MATCH($N36,'Base de dados IHS'!$C$1:$C$676,0),MATCH($O$1,'Base de dados IHS'!$A$1:$V$1,0))</f>
        <v>791157.39281293005</v>
      </c>
      <c r="P36" s="11">
        <f>INDEX('Base de dados IHS'!$A$1:$V$676,MATCH($N36,'Base de dados IHS'!$C$1:$C$676,0),MATCH($P$1,'Base de dados IHS'!$A$1:$V$1,0))</f>
        <v>836861.61444072996</v>
      </c>
      <c r="Q36" s="131">
        <f>INDEX('Base de dados IHS'!$A$1:$V$676,MATCH($N36,'Base de dados IHS'!$C$1:$C$676,0),MATCH($Q$1,'Base de dados IHS'!$A$1:$V$1,0))</f>
        <v>3.5225888890214425E-3</v>
      </c>
      <c r="R36" s="131">
        <f>INDEX('Base de dados IHS'!$A$1:$V$676,MATCH($N36,'Base de dados IHS'!$C$1:$C$676,0),MATCH($R$1,'Base de dados IHS'!$A$1:$V$1,0))</f>
        <v>3.519446542315507E-3</v>
      </c>
      <c r="S36" s="131">
        <f>INDEX('Base de dados IHS'!$A$1:$V$676,MATCH($N36,'Base de dados IHS'!$C$1:$C$676,0),MATCH($S$1,'Base de dados IHS'!$A$1:$V$1,0))</f>
        <v>-3.1423467059354775E-6</v>
      </c>
      <c r="T36" t="str">
        <f>IF(Q36&lt;'Cenario A ranking setor PIB'!$G$86,"N","Y")</f>
        <v>N</v>
      </c>
    </row>
    <row r="37" spans="1:20" hidden="1" x14ac:dyDescent="0.45">
      <c r="A37" s="293" t="s">
        <v>177</v>
      </c>
      <c r="B37" s="297" t="s">
        <v>5</v>
      </c>
      <c r="C37" s="297" t="s">
        <v>958</v>
      </c>
      <c r="D37" s="311">
        <v>23.218953290000002</v>
      </c>
      <c r="E37" s="311">
        <v>31.828575239999999</v>
      </c>
      <c r="F37" s="302">
        <f t="shared" si="3"/>
        <v>0.37080146733866814</v>
      </c>
      <c r="G37" s="311">
        <v>28.747373499999998</v>
      </c>
      <c r="H37" s="311">
        <v>31.828575239999999</v>
      </c>
      <c r="I37" s="302">
        <f t="shared" si="4"/>
        <v>0.10718202621189032</v>
      </c>
      <c r="J37" s="311">
        <v>37.885229690000003</v>
      </c>
      <c r="K37" s="311">
        <v>41.686791339999999</v>
      </c>
      <c r="L37" s="311">
        <v>44.885357419999998</v>
      </c>
      <c r="M37" s="312">
        <v>51.829434259999999</v>
      </c>
      <c r="N37" t="str">
        <f t="shared" si="5"/>
        <v>BoliviaManufacture of electrical equipment (C27)</v>
      </c>
      <c r="O37" s="11">
        <f>INDEX('Base de dados IHS'!$A$1:$V$676,MATCH($N37,'Base de dados IHS'!$C$1:$C$676,0),MATCH($O$1,'Base de dados IHS'!$A$1:$V$1,0))</f>
        <v>35334.894672080001</v>
      </c>
      <c r="P37" s="11">
        <f>INDEX('Base de dados IHS'!$A$1:$V$676,MATCH($N37,'Base de dados IHS'!$C$1:$C$676,0),MATCH($P$1,'Base de dados IHS'!$A$1:$V$1,0))</f>
        <v>39600.741188879998</v>
      </c>
      <c r="Q37" s="131">
        <f>INDEX('Base de dados IHS'!$A$1:$V$676,MATCH($N37,'Base de dados IHS'!$C$1:$C$676,0),MATCH($Q$1,'Base de dados IHS'!$A$1:$V$1,0))</f>
        <v>8.1356895971490875E-4</v>
      </c>
      <c r="R37" s="131">
        <f>INDEX('Base de dados IHS'!$A$1:$V$676,MATCH($N37,'Base de dados IHS'!$C$1:$C$676,0),MATCH($R$1,'Base de dados IHS'!$A$1:$V$1,0))</f>
        <v>8.0373685654493642E-4</v>
      </c>
      <c r="S37" s="131">
        <f>INDEX('Base de dados IHS'!$A$1:$V$676,MATCH($N37,'Base de dados IHS'!$C$1:$C$676,0),MATCH($S$1,'Base de dados IHS'!$A$1:$V$1,0))</f>
        <v>-9.8321031699723314E-6</v>
      </c>
      <c r="T37" t="str">
        <f>IF(Q37&lt;'Cenario A ranking setor PIB'!$G$86,"N","Y")</f>
        <v>N</v>
      </c>
    </row>
    <row r="38" spans="1:20" hidden="1" x14ac:dyDescent="0.45">
      <c r="A38" s="293" t="s">
        <v>173</v>
      </c>
      <c r="B38" s="297" t="s">
        <v>5</v>
      </c>
      <c r="C38" s="297" t="s">
        <v>958</v>
      </c>
      <c r="D38" s="311">
        <v>12.163936290000001</v>
      </c>
      <c r="E38" s="311">
        <v>21.31460757</v>
      </c>
      <c r="F38" s="302">
        <f t="shared" si="3"/>
        <v>0.75227879050326707</v>
      </c>
      <c r="G38" s="311">
        <v>20.917689930000002</v>
      </c>
      <c r="H38" s="311">
        <v>21.31460757</v>
      </c>
      <c r="I38" s="302">
        <f t="shared" si="4"/>
        <v>1.8975213865788376E-2</v>
      </c>
      <c r="J38" s="311">
        <v>22.768827399999999</v>
      </c>
      <c r="K38" s="311">
        <v>24.202426460000002</v>
      </c>
      <c r="L38" s="311">
        <v>25.191044309999999</v>
      </c>
      <c r="M38" s="312">
        <v>27.273183339999999</v>
      </c>
      <c r="N38" t="str">
        <f t="shared" si="5"/>
        <v>PanamaManufacture of electrical equipment (C27)</v>
      </c>
      <c r="O38" s="11">
        <f>INDEX('Base de dados IHS'!$A$1:$V$676,MATCH($N38,'Base de dados IHS'!$C$1:$C$676,0),MATCH($O$1,'Base de dados IHS'!$A$1:$V$1,0))</f>
        <v>58921.61186117</v>
      </c>
      <c r="P38" s="11">
        <f>INDEX('Base de dados IHS'!$A$1:$V$676,MATCH($N38,'Base de dados IHS'!$C$1:$C$676,0),MATCH($P$1,'Base de dados IHS'!$A$1:$V$1,0))</f>
        <v>65983.988595749994</v>
      </c>
      <c r="Q38" s="131">
        <f>INDEX('Base de dados IHS'!$A$1:$V$676,MATCH($N38,'Base de dados IHS'!$C$1:$C$676,0),MATCH($Q$1,'Base de dados IHS'!$A$1:$V$1,0))</f>
        <v>3.5500878657708604E-4</v>
      </c>
      <c r="R38" s="131">
        <f>INDEX('Base de dados IHS'!$A$1:$V$676,MATCH($N38,'Base de dados IHS'!$C$1:$C$676,0),MATCH($R$1,'Base de dados IHS'!$A$1:$V$1,0))</f>
        <v>3.2302696492907774E-4</v>
      </c>
      <c r="S38" s="131">
        <f>INDEX('Base de dados IHS'!$A$1:$V$676,MATCH($N38,'Base de dados IHS'!$C$1:$C$676,0),MATCH($S$1,'Base de dados IHS'!$A$1:$V$1,0))</f>
        <v>-3.1981821648008303E-5</v>
      </c>
      <c r="T38" t="str">
        <f>IF(Q38&lt;'Cenario A ranking setor PIB'!$G$86,"N","Y")</f>
        <v>N</v>
      </c>
    </row>
    <row r="39" spans="1:20" x14ac:dyDescent="0.45">
      <c r="A39" s="293" t="s">
        <v>168</v>
      </c>
      <c r="B39" s="297" t="s">
        <v>5</v>
      </c>
      <c r="C39" s="297" t="s">
        <v>958</v>
      </c>
      <c r="D39" s="311">
        <v>179.48701220000001</v>
      </c>
      <c r="E39" s="311">
        <v>193.56923504</v>
      </c>
      <c r="F39" s="302">
        <f t="shared" si="3"/>
        <v>7.8458171805257715E-2</v>
      </c>
      <c r="G39" s="311">
        <v>189.29503450999999</v>
      </c>
      <c r="H39" s="311">
        <v>193.56923504</v>
      </c>
      <c r="I39" s="302">
        <f t="shared" si="4"/>
        <v>2.2579570251612724E-2</v>
      </c>
      <c r="J39" s="311">
        <v>286.82388584</v>
      </c>
      <c r="K39" s="311">
        <v>334.90682958000002</v>
      </c>
      <c r="L39" s="311">
        <v>372.45472551</v>
      </c>
      <c r="M39" s="312">
        <v>469.42043353999998</v>
      </c>
      <c r="N39" t="str">
        <f t="shared" si="5"/>
        <v>TunisiaManufacture of electrical equipment (C27)</v>
      </c>
      <c r="O39" s="11">
        <f>INDEX('Base de dados IHS'!$A$1:$V$676,MATCH($N39,'Base de dados IHS'!$C$1:$C$676,0),MATCH($O$1,'Base de dados IHS'!$A$1:$V$1,0))</f>
        <v>38884.65391288</v>
      </c>
      <c r="P39" s="11">
        <f>INDEX('Base de dados IHS'!$A$1:$V$676,MATCH($N39,'Base de dados IHS'!$C$1:$C$676,0),MATCH($P$1,'Base de dados IHS'!$A$1:$V$1,0))</f>
        <v>40072.692608359997</v>
      </c>
      <c r="Q39" s="131">
        <f>INDEX('Base de dados IHS'!$A$1:$V$676,MATCH($N39,'Base de dados IHS'!$C$1:$C$676,0),MATCH($Q$1,'Base de dados IHS'!$A$1:$V$1,0))</f>
        <v>4.8681167365951187E-3</v>
      </c>
      <c r="R39" s="131">
        <f>INDEX('Base de dados IHS'!$A$1:$V$676,MATCH($N39,'Base de dados IHS'!$C$1:$C$676,0),MATCH($R$1,'Base de dados IHS'!$A$1:$V$1,0))</f>
        <v>4.8304524213483328E-3</v>
      </c>
      <c r="S39" s="131">
        <f>INDEX('Base de dados IHS'!$A$1:$V$676,MATCH($N39,'Base de dados IHS'!$C$1:$C$676,0),MATCH($S$1,'Base de dados IHS'!$A$1:$V$1,0))</f>
        <v>-3.7664315246785894E-5</v>
      </c>
      <c r="T39" t="str">
        <f>IF(Q39&lt;'Cenario A ranking setor PIB'!$G$86,"N","Y")</f>
        <v>Y</v>
      </c>
    </row>
    <row r="40" spans="1:20" hidden="1" x14ac:dyDescent="0.45">
      <c r="A40" s="293" t="s">
        <v>178</v>
      </c>
      <c r="B40" s="297" t="s">
        <v>5</v>
      </c>
      <c r="C40" s="297" t="s">
        <v>958</v>
      </c>
      <c r="D40" s="311">
        <v>2.66509902</v>
      </c>
      <c r="E40" s="311">
        <v>2.3344393600000002</v>
      </c>
      <c r="F40" s="302">
        <f t="shared" si="3"/>
        <v>-0.12407030940261266</v>
      </c>
      <c r="G40" s="311">
        <v>2.4515695900000001</v>
      </c>
      <c r="H40" s="311">
        <v>2.3344393600000002</v>
      </c>
      <c r="I40" s="302">
        <f t="shared" si="4"/>
        <v>-4.7777648441135967E-2</v>
      </c>
      <c r="J40" s="311">
        <v>3.6440012899999998</v>
      </c>
      <c r="K40" s="311">
        <v>5.1156892200000001</v>
      </c>
      <c r="L40" s="311">
        <v>6.4668098299999999</v>
      </c>
      <c r="M40" s="312">
        <v>10.70276076</v>
      </c>
      <c r="N40" t="str">
        <f t="shared" si="5"/>
        <v>SenegalManufacture of electrical equipment (C27)</v>
      </c>
      <c r="O40" s="11">
        <f>INDEX('Base de dados IHS'!$A$1:$V$676,MATCH($N40,'Base de dados IHS'!$C$1:$C$676,0),MATCH($O$1,'Base de dados IHS'!$A$1:$V$1,0))</f>
        <v>18437.455260710001</v>
      </c>
      <c r="P40" s="11">
        <f>INDEX('Base de dados IHS'!$A$1:$V$676,MATCH($N40,'Base de dados IHS'!$C$1:$C$676,0),MATCH($P$1,'Base de dados IHS'!$A$1:$V$1,0))</f>
        <v>25150.80803964</v>
      </c>
      <c r="Q40" s="131">
        <f>INDEX('Base de dados IHS'!$A$1:$V$676,MATCH($N40,'Base de dados IHS'!$C$1:$C$676,0),MATCH($Q$1,'Base de dados IHS'!$A$1:$V$1,0))</f>
        <v>1.3296680888627108E-4</v>
      </c>
      <c r="R40" s="131">
        <f>INDEX('Base de dados IHS'!$A$1:$V$676,MATCH($N40,'Base de dados IHS'!$C$1:$C$676,0),MATCH($R$1,'Base de dados IHS'!$A$1:$V$1,0))</f>
        <v>9.2817668375533212E-5</v>
      </c>
      <c r="S40" s="131">
        <f>INDEX('Base de dados IHS'!$A$1:$V$676,MATCH($N40,'Base de dados IHS'!$C$1:$C$676,0),MATCH($S$1,'Base de dados IHS'!$A$1:$V$1,0))</f>
        <v>-4.0149140510737863E-5</v>
      </c>
      <c r="T40" t="str">
        <f>IF(Q40&lt;'Cenario A ranking setor PIB'!$G$86,"N","Y")</f>
        <v>N</v>
      </c>
    </row>
    <row r="41" spans="1:20" hidden="1" x14ac:dyDescent="0.45">
      <c r="A41" s="293" t="s">
        <v>155</v>
      </c>
      <c r="B41" s="297" t="s">
        <v>5</v>
      </c>
      <c r="C41" s="297" t="s">
        <v>958</v>
      </c>
      <c r="D41" s="311">
        <v>259.54615444000001</v>
      </c>
      <c r="E41" s="311">
        <v>316.68191155</v>
      </c>
      <c r="F41" s="302">
        <f t="shared" si="3"/>
        <v>0.22013717457412074</v>
      </c>
      <c r="G41" s="311">
        <v>322.18920416999998</v>
      </c>
      <c r="H41" s="311">
        <v>316.68191155</v>
      </c>
      <c r="I41" s="302">
        <f t="shared" si="4"/>
        <v>-1.7093349338589636E-2</v>
      </c>
      <c r="J41" s="311">
        <v>398.23714487000001</v>
      </c>
      <c r="K41" s="311">
        <v>449.55500502000001</v>
      </c>
      <c r="L41" s="311">
        <v>473.58819059000001</v>
      </c>
      <c r="M41" s="312">
        <v>519.11511919999998</v>
      </c>
      <c r="N41" t="str">
        <f t="shared" si="5"/>
        <v>QatarManufacture of electrical equipment (C27)</v>
      </c>
      <c r="O41" s="11">
        <f>INDEX('Base de dados IHS'!$A$1:$V$676,MATCH($N41,'Base de dados IHS'!$C$1:$C$676,0),MATCH($O$1,'Base de dados IHS'!$A$1:$V$1,0))</f>
        <v>170576.82347613</v>
      </c>
      <c r="P41" s="11">
        <f>INDEX('Base de dados IHS'!$A$1:$V$676,MATCH($N41,'Base de dados IHS'!$C$1:$C$676,0),MATCH($P$1,'Base de dados IHS'!$A$1:$V$1,0))</f>
        <v>172715.39534024999</v>
      </c>
      <c r="Q41" s="131">
        <f>INDEX('Base de dados IHS'!$A$1:$V$676,MATCH($N41,'Base de dados IHS'!$C$1:$C$676,0),MATCH($Q$1,'Base de dados IHS'!$A$1:$V$1,0))</f>
        <v>1.8888216910375644E-3</v>
      </c>
      <c r="R41" s="131">
        <f>INDEX('Base de dados IHS'!$A$1:$V$676,MATCH($N41,'Base de dados IHS'!$C$1:$C$676,0),MATCH($R$1,'Base de dados IHS'!$A$1:$V$1,0))</f>
        <v>1.8335476749257668E-3</v>
      </c>
      <c r="S41" s="131">
        <f>INDEX('Base de dados IHS'!$A$1:$V$676,MATCH($N41,'Base de dados IHS'!$C$1:$C$676,0),MATCH($S$1,'Base de dados IHS'!$A$1:$V$1,0))</f>
        <v>-5.5274016111797565E-5</v>
      </c>
      <c r="T41" t="str">
        <f>IF(Q41&lt;'Cenario A ranking setor PIB'!$G$86,"N","Y")</f>
        <v>N</v>
      </c>
    </row>
    <row r="42" spans="1:20" hidden="1" x14ac:dyDescent="0.45">
      <c r="A42" s="293" t="s">
        <v>167</v>
      </c>
      <c r="B42" s="297" t="s">
        <v>5</v>
      </c>
      <c r="C42" s="297" t="s">
        <v>958</v>
      </c>
      <c r="D42" s="311">
        <v>250.98342159000001</v>
      </c>
      <c r="E42" s="311">
        <v>168.18758948999999</v>
      </c>
      <c r="F42" s="302">
        <f t="shared" si="3"/>
        <v>-0.32988566167232003</v>
      </c>
      <c r="G42" s="311">
        <v>178.03409644999999</v>
      </c>
      <c r="H42" s="311">
        <v>168.18758948999999</v>
      </c>
      <c r="I42" s="302">
        <f t="shared" si="4"/>
        <v>-5.5306860631414767E-2</v>
      </c>
      <c r="J42" s="311">
        <v>200.54979109999999</v>
      </c>
      <c r="K42" s="311">
        <v>198.84362913999999</v>
      </c>
      <c r="L42" s="311">
        <v>196.08135666000001</v>
      </c>
      <c r="M42" s="312">
        <v>192.34428826999999</v>
      </c>
      <c r="N42" t="str">
        <f t="shared" si="5"/>
        <v>Hong Kong SARManufacture of electrical equipment (C27)</v>
      </c>
      <c r="O42" s="11">
        <f>INDEX('Base de dados IHS'!$A$1:$V$676,MATCH($N42,'Base de dados IHS'!$C$1:$C$676,0),MATCH($O$1,'Base de dados IHS'!$A$1:$V$1,0))</f>
        <v>338559.97086627001</v>
      </c>
      <c r="P42" s="11">
        <f>INDEX('Base de dados IHS'!$A$1:$V$676,MATCH($N42,'Base de dados IHS'!$C$1:$C$676,0),MATCH($P$1,'Base de dados IHS'!$A$1:$V$1,0))</f>
        <v>361197.76240428002</v>
      </c>
      <c r="Q42" s="131">
        <f>INDEX('Base de dados IHS'!$A$1:$V$676,MATCH($N42,'Base de dados IHS'!$C$1:$C$676,0),MATCH($Q$1,'Base de dados IHS'!$A$1:$V$1,0))</f>
        <v>5.2585689913212694E-4</v>
      </c>
      <c r="R42" s="131">
        <f>INDEX('Base de dados IHS'!$A$1:$V$676,MATCH($N42,'Base de dados IHS'!$C$1:$C$676,0),MATCH($R$1,'Base de dados IHS'!$A$1:$V$1,0))</f>
        <v>4.6563851439852398E-4</v>
      </c>
      <c r="S42" s="131">
        <f>INDEX('Base de dados IHS'!$A$1:$V$676,MATCH($N42,'Base de dados IHS'!$C$1:$C$676,0),MATCH($S$1,'Base de dados IHS'!$A$1:$V$1,0))</f>
        <v>-6.0218384733602952E-5</v>
      </c>
      <c r="T42" t="str">
        <f>IF(Q42&lt;'Cenario A ranking setor PIB'!$G$86,"N","Y")</f>
        <v>N</v>
      </c>
    </row>
    <row r="43" spans="1:20" x14ac:dyDescent="0.45">
      <c r="A43" s="293" t="s">
        <v>98</v>
      </c>
      <c r="B43" s="297" t="s">
        <v>5</v>
      </c>
      <c r="C43" s="297" t="s">
        <v>958</v>
      </c>
      <c r="D43" s="311">
        <v>48338.529331999998</v>
      </c>
      <c r="E43" s="311">
        <v>49533.657250019998</v>
      </c>
      <c r="F43" s="302">
        <f t="shared" si="3"/>
        <v>2.4724126582577499E-2</v>
      </c>
      <c r="G43" s="311">
        <v>46921.993555239998</v>
      </c>
      <c r="H43" s="311">
        <v>49533.657250019998</v>
      </c>
      <c r="I43" s="302">
        <f t="shared" si="4"/>
        <v>5.5659691690323365E-2</v>
      </c>
      <c r="J43" s="311">
        <v>55203.72437181</v>
      </c>
      <c r="K43" s="311">
        <v>58372.738898410003</v>
      </c>
      <c r="L43" s="311">
        <v>60314.144153109999</v>
      </c>
      <c r="M43" s="312">
        <v>63629.840640549999</v>
      </c>
      <c r="N43" t="str">
        <f t="shared" si="5"/>
        <v>GermanyManufacture of electrical equipment (C27)</v>
      </c>
      <c r="O43" s="11">
        <f>INDEX('Base de dados IHS'!$A$1:$V$676,MATCH($N43,'Base de dados IHS'!$C$1:$C$676,0),MATCH($O$1,'Base de dados IHS'!$A$1:$V$1,0))</f>
        <v>3626843.1759532001</v>
      </c>
      <c r="P43" s="11">
        <f>INDEX('Base de dados IHS'!$A$1:$V$676,MATCH($N43,'Base de dados IHS'!$C$1:$C$676,0),MATCH($P$1,'Base de dados IHS'!$A$1:$V$1,0))</f>
        <v>3849084.4984781002</v>
      </c>
      <c r="Q43" s="131">
        <f>INDEX('Base de dados IHS'!$A$1:$V$676,MATCH($N43,'Base de dados IHS'!$C$1:$C$676,0),MATCH($Q$1,'Base de dados IHS'!$A$1:$V$1,0))</f>
        <v>1.2937420031377024E-2</v>
      </c>
      <c r="R43" s="131">
        <f>INDEX('Base de dados IHS'!$A$1:$V$676,MATCH($N43,'Base de dados IHS'!$C$1:$C$676,0),MATCH($R$1,'Base de dados IHS'!$A$1:$V$1,0))</f>
        <v>1.286894513996906E-2</v>
      </c>
      <c r="S43" s="131">
        <f>INDEX('Base de dados IHS'!$A$1:$V$676,MATCH($N43,'Base de dados IHS'!$C$1:$C$676,0),MATCH($S$1,'Base de dados IHS'!$A$1:$V$1,0))</f>
        <v>-6.8474891407963728E-5</v>
      </c>
      <c r="T43" t="str">
        <f>IF(Q43&lt;'Cenario A ranking setor PIB'!$G$86,"N","Y")</f>
        <v>Y</v>
      </c>
    </row>
    <row r="44" spans="1:20" hidden="1" x14ac:dyDescent="0.45">
      <c r="A44" s="293" t="s">
        <v>172</v>
      </c>
      <c r="B44" s="297" t="s">
        <v>5</v>
      </c>
      <c r="C44" s="297" t="s">
        <v>958</v>
      </c>
      <c r="D44" s="311">
        <v>46.969558370000001</v>
      </c>
      <c r="E44" s="311">
        <v>51.619016469999998</v>
      </c>
      <c r="F44" s="302">
        <f t="shared" si="3"/>
        <v>9.8988754873404528E-2</v>
      </c>
      <c r="G44" s="311">
        <v>56.238907949999998</v>
      </c>
      <c r="H44" s="311">
        <v>51.619016469999998</v>
      </c>
      <c r="I44" s="302">
        <f t="shared" si="4"/>
        <v>-8.214760293900758E-2</v>
      </c>
      <c r="J44" s="311">
        <v>60.455173240000001</v>
      </c>
      <c r="K44" s="311">
        <v>66.143270540000003</v>
      </c>
      <c r="L44" s="311">
        <v>70.422215800000004</v>
      </c>
      <c r="M44" s="312">
        <v>79.051371990000007</v>
      </c>
      <c r="N44" t="str">
        <f t="shared" si="5"/>
        <v>UruguayManufacture of electrical equipment (C27)</v>
      </c>
      <c r="O44" s="11">
        <f>INDEX('Base de dados IHS'!$A$1:$V$676,MATCH($N44,'Base de dados IHS'!$C$1:$C$676,0),MATCH($O$1,'Base de dados IHS'!$A$1:$V$1,0))</f>
        <v>59449.563607900003</v>
      </c>
      <c r="P44" s="11">
        <f>INDEX('Base de dados IHS'!$A$1:$V$676,MATCH($N44,'Base de dados IHS'!$C$1:$C$676,0),MATCH($P$1,'Base de dados IHS'!$A$1:$V$1,0))</f>
        <v>61243.536031950003</v>
      </c>
      <c r="Q44" s="131">
        <f>INDEX('Base de dados IHS'!$A$1:$V$676,MATCH($N44,'Base de dados IHS'!$C$1:$C$676,0),MATCH($Q$1,'Base de dados IHS'!$A$1:$V$1,0))</f>
        <v>9.4599362109575936E-4</v>
      </c>
      <c r="R44" s="131">
        <f>INDEX('Base de dados IHS'!$A$1:$V$676,MATCH($N44,'Base de dados IHS'!$C$1:$C$676,0),MATCH($R$1,'Base de dados IHS'!$A$1:$V$1,0))</f>
        <v>8.4284840187984883E-4</v>
      </c>
      <c r="S44" s="131">
        <f>INDEX('Base de dados IHS'!$A$1:$V$676,MATCH($N44,'Base de dados IHS'!$C$1:$C$676,0),MATCH($S$1,'Base de dados IHS'!$A$1:$V$1,0))</f>
        <v>-1.0314521921591052E-4</v>
      </c>
      <c r="T44" t="str">
        <f>IF(Q44&lt;'Cenario A ranking setor PIB'!$G$86,"N","Y")</f>
        <v>N</v>
      </c>
    </row>
    <row r="45" spans="1:20" hidden="1" x14ac:dyDescent="0.45">
      <c r="A45" s="293" t="s">
        <v>120</v>
      </c>
      <c r="B45" s="297" t="s">
        <v>5</v>
      </c>
      <c r="C45" s="297" t="s">
        <v>958</v>
      </c>
      <c r="D45" s="311">
        <v>1357.5193154200001</v>
      </c>
      <c r="E45" s="311">
        <v>1573.74229274</v>
      </c>
      <c r="F45" s="302">
        <f t="shared" si="3"/>
        <v>0.15927801163779631</v>
      </c>
      <c r="G45" s="311">
        <v>1519.86572394</v>
      </c>
      <c r="H45" s="311">
        <v>1573.74229274</v>
      </c>
      <c r="I45" s="302">
        <f t="shared" si="4"/>
        <v>3.544824253311929E-2</v>
      </c>
      <c r="J45" s="311">
        <v>1676.1725547599999</v>
      </c>
      <c r="K45" s="311">
        <v>1777.67901566</v>
      </c>
      <c r="L45" s="311">
        <v>1843.2089701</v>
      </c>
      <c r="M45" s="312">
        <v>1998.50061906</v>
      </c>
      <c r="N45" t="str">
        <f t="shared" si="5"/>
        <v>AustraliaManufacture of electrical equipment (C27)</v>
      </c>
      <c r="O45" s="11">
        <f>INDEX('Base de dados IHS'!$A$1:$V$676,MATCH($N45,'Base de dados IHS'!$C$1:$C$676,0),MATCH($O$1,'Base de dados IHS'!$A$1:$V$1,0))</f>
        <v>1256563.3075111001</v>
      </c>
      <c r="P45" s="11">
        <f>INDEX('Base de dados IHS'!$A$1:$V$676,MATCH($N45,'Base de dados IHS'!$C$1:$C$676,0),MATCH($P$1,'Base de dados IHS'!$A$1:$V$1,0))</f>
        <v>1430586.2916371</v>
      </c>
      <c r="Q45" s="131">
        <f>INDEX('Base de dados IHS'!$A$1:$V$676,MATCH($N45,'Base de dados IHS'!$C$1:$C$676,0),MATCH($Q$1,'Base de dados IHS'!$A$1:$V$1,0))</f>
        <v>1.2095417038321995E-3</v>
      </c>
      <c r="R45" s="131">
        <f>INDEX('Base de dados IHS'!$A$1:$V$676,MATCH($N45,'Base de dados IHS'!$C$1:$C$676,0),MATCH($R$1,'Base de dados IHS'!$A$1:$V$1,0))</f>
        <v>1.1000680643591786E-3</v>
      </c>
      <c r="S45" s="131">
        <f>INDEX('Base de dados IHS'!$A$1:$V$676,MATCH($N45,'Base de dados IHS'!$C$1:$C$676,0),MATCH($S$1,'Base de dados IHS'!$A$1:$V$1,0))</f>
        <v>-1.0947363947302088E-4</v>
      </c>
      <c r="T45" t="str">
        <f>IF(Q45&lt;'Cenario A ranking setor PIB'!$G$86,"N","Y")</f>
        <v>N</v>
      </c>
    </row>
    <row r="46" spans="1:20" hidden="1" x14ac:dyDescent="0.45">
      <c r="A46" s="293" t="s">
        <v>151</v>
      </c>
      <c r="B46" s="297" t="s">
        <v>5</v>
      </c>
      <c r="C46" s="297" t="s">
        <v>958</v>
      </c>
      <c r="D46" s="311">
        <v>730.82114906000004</v>
      </c>
      <c r="E46" s="311">
        <v>745.45269413999995</v>
      </c>
      <c r="F46" s="302">
        <f t="shared" si="3"/>
        <v>2.0020691928277268E-2</v>
      </c>
      <c r="G46" s="311">
        <v>733.67467937000004</v>
      </c>
      <c r="H46" s="311">
        <v>745.45269413999995</v>
      </c>
      <c r="I46" s="302">
        <f t="shared" si="4"/>
        <v>1.6053456799290933E-2</v>
      </c>
      <c r="J46" s="311">
        <v>730.72437551999997</v>
      </c>
      <c r="K46" s="311">
        <v>744.98852399999998</v>
      </c>
      <c r="L46" s="311">
        <v>750.67726040000002</v>
      </c>
      <c r="M46" s="312">
        <v>769.93360837</v>
      </c>
      <c r="N46" t="str">
        <f t="shared" si="5"/>
        <v>NorwayManufacture of electrical equipment (C27)</v>
      </c>
      <c r="O46" s="11">
        <f>INDEX('Base de dados IHS'!$A$1:$V$676,MATCH($N46,'Base de dados IHS'!$C$1:$C$676,0),MATCH($O$1,'Base de dados IHS'!$A$1:$V$1,0))</f>
        <v>386512.35690163</v>
      </c>
      <c r="P46" s="11">
        <f>INDEX('Base de dados IHS'!$A$1:$V$676,MATCH($N46,'Base de dados IHS'!$C$1:$C$676,0),MATCH($P$1,'Base de dados IHS'!$A$1:$V$1,0))</f>
        <v>418559.21595058002</v>
      </c>
      <c r="Q46" s="131">
        <f>INDEX('Base de dados IHS'!$A$1:$V$676,MATCH($N46,'Base de dados IHS'!$C$1:$C$676,0),MATCH($Q$1,'Base de dados IHS'!$A$1:$V$1,0))</f>
        <v>1.8981920403562289E-3</v>
      </c>
      <c r="R46" s="131">
        <f>INDEX('Base de dados IHS'!$A$1:$V$676,MATCH($N46,'Base de dados IHS'!$C$1:$C$676,0),MATCH($R$1,'Base de dados IHS'!$A$1:$V$1,0))</f>
        <v>1.7809969670528453E-3</v>
      </c>
      <c r="S46" s="131">
        <f>INDEX('Base de dados IHS'!$A$1:$V$676,MATCH($N46,'Base de dados IHS'!$C$1:$C$676,0),MATCH($S$1,'Base de dados IHS'!$A$1:$V$1,0))</f>
        <v>-1.171950733033836E-4</v>
      </c>
      <c r="T46" t="str">
        <f>IF(Q46&lt;'Cenario A ranking setor PIB'!$G$86,"N","Y")</f>
        <v>N</v>
      </c>
    </row>
    <row r="47" spans="1:20" hidden="1" x14ac:dyDescent="0.45">
      <c r="A47" s="293" t="s">
        <v>152</v>
      </c>
      <c r="B47" s="297" t="s">
        <v>5</v>
      </c>
      <c r="C47" s="297" t="s">
        <v>958</v>
      </c>
      <c r="D47" s="311">
        <v>609.47577066999997</v>
      </c>
      <c r="E47" s="311">
        <v>771.70799239999997</v>
      </c>
      <c r="F47" s="302">
        <f t="shared" si="3"/>
        <v>0.26618321767189745</v>
      </c>
      <c r="G47" s="311">
        <v>724.39466586000003</v>
      </c>
      <c r="H47" s="311">
        <v>771.70799239999997</v>
      </c>
      <c r="I47" s="302">
        <f t="shared" si="4"/>
        <v>6.5314294499711156E-2</v>
      </c>
      <c r="J47" s="311">
        <v>945.51665839999998</v>
      </c>
      <c r="K47" s="311">
        <v>1092.63339765</v>
      </c>
      <c r="L47" s="311">
        <v>1217.7288147700001</v>
      </c>
      <c r="M47" s="312">
        <v>1549.8329656599999</v>
      </c>
      <c r="N47" t="str">
        <f t="shared" si="5"/>
        <v>ColombiaManufacture of electrical equipment (C27)</v>
      </c>
      <c r="O47" s="11">
        <f>INDEX('Base de dados IHS'!$A$1:$V$676,MATCH($N47,'Base de dados IHS'!$C$1:$C$676,0),MATCH($O$1,'Base de dados IHS'!$A$1:$V$1,0))</f>
        <v>295018.32730579999</v>
      </c>
      <c r="P47" s="11">
        <f>INDEX('Base de dados IHS'!$A$1:$V$676,MATCH($N47,'Base de dados IHS'!$C$1:$C$676,0),MATCH($P$1,'Base de dados IHS'!$A$1:$V$1,0))</f>
        <v>332655.81031924998</v>
      </c>
      <c r="Q47" s="131">
        <f>INDEX('Base de dados IHS'!$A$1:$V$676,MATCH($N47,'Base de dados IHS'!$C$1:$C$676,0),MATCH($Q$1,'Base de dados IHS'!$A$1:$V$1,0))</f>
        <v>2.4554225917942101E-3</v>
      </c>
      <c r="R47" s="131">
        <f>INDEX('Base de dados IHS'!$A$1:$V$676,MATCH($N47,'Base de dados IHS'!$C$1:$C$676,0),MATCH($R$1,'Base de dados IHS'!$A$1:$V$1,0))</f>
        <v>2.3198392105623867E-3</v>
      </c>
      <c r="S47" s="131">
        <f>INDEX('Base de dados IHS'!$A$1:$V$676,MATCH($N47,'Base de dados IHS'!$C$1:$C$676,0),MATCH($S$1,'Base de dados IHS'!$A$1:$V$1,0))</f>
        <v>-1.3558338123182334E-4</v>
      </c>
      <c r="T47" t="str">
        <f>IF(Q47&lt;'Cenario A ranking setor PIB'!$G$86,"N","Y")</f>
        <v>N</v>
      </c>
    </row>
    <row r="48" spans="1:20" hidden="1" x14ac:dyDescent="0.45">
      <c r="A48" s="293" t="s">
        <v>150</v>
      </c>
      <c r="B48" s="297" t="s">
        <v>5</v>
      </c>
      <c r="C48" s="297" t="s">
        <v>958</v>
      </c>
      <c r="D48" s="311">
        <v>355.76431152999999</v>
      </c>
      <c r="E48" s="311">
        <v>591.27612570999997</v>
      </c>
      <c r="F48" s="302">
        <f t="shared" si="3"/>
        <v>0.66198830671676401</v>
      </c>
      <c r="G48" s="311">
        <v>521.20834860000002</v>
      </c>
      <c r="H48" s="311">
        <v>591.27612570999997</v>
      </c>
      <c r="I48" s="302">
        <f t="shared" si="4"/>
        <v>0.13443333610869179</v>
      </c>
      <c r="J48" s="311">
        <v>638.95823014999996</v>
      </c>
      <c r="K48" s="311">
        <v>748.78676447999999</v>
      </c>
      <c r="L48" s="311">
        <v>837.53449875000001</v>
      </c>
      <c r="M48" s="312">
        <v>1066.5243629300001</v>
      </c>
      <c r="N48" t="str">
        <f t="shared" si="5"/>
        <v>PhilippinesManufacture of electrical equipment (C27)</v>
      </c>
      <c r="O48" s="11">
        <f>INDEX('Base de dados IHS'!$A$1:$V$676,MATCH($N48,'Base de dados IHS'!$C$1:$C$676,0),MATCH($O$1,'Base de dados IHS'!$A$1:$V$1,0))</f>
        <v>291518.00825125998</v>
      </c>
      <c r="P48" s="11">
        <f>INDEX('Base de dados IHS'!$A$1:$V$676,MATCH($N48,'Base de dados IHS'!$C$1:$C$676,0),MATCH($P$1,'Base de dados IHS'!$A$1:$V$1,0))</f>
        <v>360513.15606205998</v>
      </c>
      <c r="Q48" s="131">
        <f>INDEX('Base de dados IHS'!$A$1:$V$676,MATCH($N48,'Base de dados IHS'!$C$1:$C$676,0),MATCH($Q$1,'Base de dados IHS'!$A$1:$V$1,0))</f>
        <v>1.7879113257070879E-3</v>
      </c>
      <c r="R48" s="131">
        <f>INDEX('Base de dados IHS'!$A$1:$V$676,MATCH($N48,'Base de dados IHS'!$C$1:$C$676,0),MATCH($R$1,'Base de dados IHS'!$A$1:$V$1,0))</f>
        <v>1.6400958349720132E-3</v>
      </c>
      <c r="S48" s="131">
        <f>INDEX('Base de dados IHS'!$A$1:$V$676,MATCH($N48,'Base de dados IHS'!$C$1:$C$676,0),MATCH($S$1,'Base de dados IHS'!$A$1:$V$1,0))</f>
        <v>-1.4781549073507468E-4</v>
      </c>
      <c r="T48" t="str">
        <f>IF(Q48&lt;'Cenario A ranking setor PIB'!$G$86,"N","Y")</f>
        <v>N</v>
      </c>
    </row>
    <row r="49" spans="1:20" hidden="1" x14ac:dyDescent="0.45">
      <c r="A49" s="293" t="s">
        <v>169</v>
      </c>
      <c r="B49" s="297" t="s">
        <v>5</v>
      </c>
      <c r="C49" s="297" t="s">
        <v>958</v>
      </c>
      <c r="D49" s="311">
        <v>122.56763528</v>
      </c>
      <c r="E49" s="311">
        <v>156.18462804999999</v>
      </c>
      <c r="F49" s="302">
        <f t="shared" si="3"/>
        <v>0.27427299786932768</v>
      </c>
      <c r="G49" s="311">
        <v>140.98029324000001</v>
      </c>
      <c r="H49" s="311">
        <v>156.18462804999999</v>
      </c>
      <c r="I49" s="302">
        <f t="shared" si="4"/>
        <v>0.10784723496153203</v>
      </c>
      <c r="J49" s="311">
        <v>188.59497658000001</v>
      </c>
      <c r="K49" s="311">
        <v>209.14823192</v>
      </c>
      <c r="L49" s="311">
        <v>226.95371485999999</v>
      </c>
      <c r="M49" s="312">
        <v>277.05278980000003</v>
      </c>
      <c r="N49" t="str">
        <f t="shared" si="5"/>
        <v>Costa RicaManufacture of electrical equipment (C27)</v>
      </c>
      <c r="O49" s="11">
        <f>INDEX('Base de dados IHS'!$A$1:$V$676,MATCH($N49,'Base de dados IHS'!$C$1:$C$676,0),MATCH($O$1,'Base de dados IHS'!$A$1:$V$1,0))</f>
        <v>56790.776904650003</v>
      </c>
      <c r="P49" s="11">
        <f>INDEX('Base de dados IHS'!$A$1:$V$676,MATCH($N49,'Base de dados IHS'!$C$1:$C$676,0),MATCH($P$1,'Base de dados IHS'!$A$1:$V$1,0))</f>
        <v>66933.267445050005</v>
      </c>
      <c r="Q49" s="131">
        <f>INDEX('Base de dados IHS'!$A$1:$V$676,MATCH($N49,'Base de dados IHS'!$C$1:$C$676,0),MATCH($Q$1,'Base de dados IHS'!$A$1:$V$1,0))</f>
        <v>2.4824505126369665E-3</v>
      </c>
      <c r="R49" s="131">
        <f>INDEX('Base de dados IHS'!$A$1:$V$676,MATCH($N49,'Base de dados IHS'!$C$1:$C$676,0),MATCH($R$1,'Base de dados IHS'!$A$1:$V$1,0))</f>
        <v>2.3334379750431637E-3</v>
      </c>
      <c r="S49" s="131">
        <f>INDEX('Base de dados IHS'!$A$1:$V$676,MATCH($N49,'Base de dados IHS'!$C$1:$C$676,0),MATCH($S$1,'Base de dados IHS'!$A$1:$V$1,0))</f>
        <v>-1.4901253759380282E-4</v>
      </c>
      <c r="T49" t="str">
        <f>IF(Q49&lt;'Cenario A ranking setor PIB'!$G$86,"N","Y")</f>
        <v>N</v>
      </c>
    </row>
    <row r="50" spans="1:20" hidden="1" x14ac:dyDescent="0.45">
      <c r="A50" s="293" t="s">
        <v>170</v>
      </c>
      <c r="B50" s="297" t="s">
        <v>5</v>
      </c>
      <c r="C50" s="297" t="s">
        <v>958</v>
      </c>
      <c r="D50" s="311">
        <v>341.32378427999998</v>
      </c>
      <c r="E50" s="311">
        <v>281.93258015999999</v>
      </c>
      <c r="F50" s="302">
        <f t="shared" si="3"/>
        <v>-0.1740025361704044</v>
      </c>
      <c r="G50" s="311">
        <v>288.99684841999999</v>
      </c>
      <c r="H50" s="311">
        <v>281.93258015999999</v>
      </c>
      <c r="I50" s="302">
        <f t="shared" si="4"/>
        <v>-2.4444101375574512E-2</v>
      </c>
      <c r="J50" s="311">
        <v>239.61885835999999</v>
      </c>
      <c r="K50" s="311">
        <v>257.21961156999998</v>
      </c>
      <c r="L50" s="311">
        <v>272.65687115999998</v>
      </c>
      <c r="M50" s="312">
        <v>304.62751376</v>
      </c>
      <c r="N50" t="str">
        <f t="shared" si="5"/>
        <v>ChileManufacture of electrical equipment (C27)</v>
      </c>
      <c r="O50" s="11">
        <f>INDEX('Base de dados IHS'!$A$1:$V$676,MATCH($N50,'Base de dados IHS'!$C$1:$C$676,0),MATCH($O$1,'Base de dados IHS'!$A$1:$V$1,0))</f>
        <v>257576.69277617999</v>
      </c>
      <c r="P50" s="11">
        <f>INDEX('Base de dados IHS'!$A$1:$V$676,MATCH($N50,'Base de dados IHS'!$C$1:$C$676,0),MATCH($P$1,'Base de dados IHS'!$A$1:$V$1,0))</f>
        <v>291863.26262717001</v>
      </c>
      <c r="Q50" s="131">
        <f>INDEX('Base de dados IHS'!$A$1:$V$676,MATCH($N50,'Base de dados IHS'!$C$1:$C$676,0),MATCH($Q$1,'Base de dados IHS'!$A$1:$V$1,0))</f>
        <v>1.1219836907802928E-3</v>
      </c>
      <c r="R50" s="131">
        <f>INDEX('Base de dados IHS'!$A$1:$V$676,MATCH($N50,'Base de dados IHS'!$C$1:$C$676,0),MATCH($R$1,'Base de dados IHS'!$A$1:$V$1,0))</f>
        <v>9.6597488023062491E-4</v>
      </c>
      <c r="S50" s="131">
        <f>INDEX('Base de dados IHS'!$A$1:$V$676,MATCH($N50,'Base de dados IHS'!$C$1:$C$676,0),MATCH($S$1,'Base de dados IHS'!$A$1:$V$1,0))</f>
        <v>-1.5600881054966787E-4</v>
      </c>
      <c r="T50" t="str">
        <f>IF(Q50&lt;'Cenario A ranking setor PIB'!$G$86,"N","Y")</f>
        <v>N</v>
      </c>
    </row>
    <row r="51" spans="1:20" x14ac:dyDescent="0.45">
      <c r="A51" s="293" t="s">
        <v>73</v>
      </c>
      <c r="B51" s="297" t="s">
        <v>5</v>
      </c>
      <c r="C51" s="297" t="s">
        <v>958</v>
      </c>
      <c r="D51" s="311">
        <v>5199.6977512800004</v>
      </c>
      <c r="E51" s="311">
        <v>6374.6856817099997</v>
      </c>
      <c r="F51" s="302">
        <f t="shared" si="3"/>
        <v>0.22597235197771925</v>
      </c>
      <c r="G51" s="311">
        <v>5259.5655513800002</v>
      </c>
      <c r="H51" s="311">
        <v>6374.6856817099997</v>
      </c>
      <c r="I51" s="302">
        <f t="shared" si="4"/>
        <v>0.2120175363224468</v>
      </c>
      <c r="J51" s="311">
        <v>6058.1192134499997</v>
      </c>
      <c r="K51" s="311">
        <v>6604.7409893699996</v>
      </c>
      <c r="L51" s="311">
        <v>7007.6803304799996</v>
      </c>
      <c r="M51" s="312">
        <v>8024.5272793000004</v>
      </c>
      <c r="N51" t="str">
        <f t="shared" si="5"/>
        <v>TaiwanManufacture of electrical equipment (C27)</v>
      </c>
      <c r="O51" s="11">
        <f>INDEX('Base de dados IHS'!$A$1:$V$676,MATCH($N51,'Base de dados IHS'!$C$1:$C$676,0),MATCH($O$1,'Base de dados IHS'!$A$1:$V$1,0))</f>
        <v>546880.06131035998</v>
      </c>
      <c r="P51" s="11">
        <f>INDEX('Base de dados IHS'!$A$1:$V$676,MATCH($N51,'Base de dados IHS'!$C$1:$C$676,0),MATCH($P$1,'Base de dados IHS'!$A$1:$V$1,0))</f>
        <v>674049.24440882006</v>
      </c>
      <c r="Q51" s="131">
        <f>INDEX('Base de dados IHS'!$A$1:$V$676,MATCH($N51,'Base de dados IHS'!$C$1:$C$676,0),MATCH($Q$1,'Base de dados IHS'!$A$1:$V$1,0))</f>
        <v>9.6174022852062689E-3</v>
      </c>
      <c r="R51" s="131">
        <f>INDEX('Base de dados IHS'!$A$1:$V$676,MATCH($N51,'Base de dados IHS'!$C$1:$C$676,0),MATCH($R$1,'Base de dados IHS'!$A$1:$V$1,0))</f>
        <v>9.4572996477445288E-3</v>
      </c>
      <c r="S51" s="131">
        <f>INDEX('Base de dados IHS'!$A$1:$V$676,MATCH($N51,'Base de dados IHS'!$C$1:$C$676,0),MATCH($S$1,'Base de dados IHS'!$A$1:$V$1,0))</f>
        <v>-1.6010263746174015E-4</v>
      </c>
      <c r="T51" t="str">
        <f>IF(Q51&lt;'Cenario A ranking setor PIB'!$G$86,"N","Y")</f>
        <v>Y</v>
      </c>
    </row>
    <row r="52" spans="1:20" hidden="1" x14ac:dyDescent="0.45">
      <c r="A52" s="293" t="s">
        <v>97</v>
      </c>
      <c r="B52" s="297" t="s">
        <v>5</v>
      </c>
      <c r="C52" s="297" t="s">
        <v>958</v>
      </c>
      <c r="D52" s="311">
        <v>8665.1238295999992</v>
      </c>
      <c r="E52" s="311">
        <v>7699.3337382399995</v>
      </c>
      <c r="F52" s="302">
        <f t="shared" si="3"/>
        <v>-0.11145715979970972</v>
      </c>
      <c r="G52" s="311">
        <v>7712.8257047799998</v>
      </c>
      <c r="H52" s="311">
        <v>7699.3337382399995</v>
      </c>
      <c r="I52" s="302">
        <f t="shared" si="4"/>
        <v>-1.7492896969834026E-3</v>
      </c>
      <c r="J52" s="311">
        <v>7850.8616743100001</v>
      </c>
      <c r="K52" s="311">
        <v>8154.4102509799995</v>
      </c>
      <c r="L52" s="311">
        <v>8415.5853949100001</v>
      </c>
      <c r="M52" s="312">
        <v>9131.4018842999994</v>
      </c>
      <c r="N52" t="str">
        <f t="shared" si="5"/>
        <v>FranceManufacture of electrical equipment (C27)</v>
      </c>
      <c r="O52" s="11">
        <f>INDEX('Base de dados IHS'!$A$1:$V$676,MATCH($N52,'Base de dados IHS'!$C$1:$C$676,0),MATCH($O$1,'Base de dados IHS'!$A$1:$V$1,0))</f>
        <v>2544956.5086996001</v>
      </c>
      <c r="P52" s="11">
        <f>INDEX('Base de dados IHS'!$A$1:$V$676,MATCH($N52,'Base de dados IHS'!$C$1:$C$676,0),MATCH($P$1,'Base de dados IHS'!$A$1:$V$1,0))</f>
        <v>2682424.2983101001</v>
      </c>
      <c r="Q52" s="131">
        <f>INDEX('Base de dados IHS'!$A$1:$V$676,MATCH($N52,'Base de dados IHS'!$C$1:$C$676,0),MATCH($Q$1,'Base de dados IHS'!$A$1:$V$1,0))</f>
        <v>3.0306316349276367E-3</v>
      </c>
      <c r="R52" s="131">
        <f>INDEX('Base de dados IHS'!$A$1:$V$676,MATCH($N52,'Base de dados IHS'!$C$1:$C$676,0),MATCH($R$1,'Base de dados IHS'!$A$1:$V$1,0))</f>
        <v>2.87028929132893E-3</v>
      </c>
      <c r="S52" s="131">
        <f>INDEX('Base de dados IHS'!$A$1:$V$676,MATCH($N52,'Base de dados IHS'!$C$1:$C$676,0),MATCH($S$1,'Base de dados IHS'!$A$1:$V$1,0))</f>
        <v>-1.6034234359870673E-4</v>
      </c>
      <c r="T52" t="str">
        <f>IF(Q52&lt;'Cenario A ranking setor PIB'!$G$86,"N","Y")</f>
        <v>N</v>
      </c>
    </row>
    <row r="53" spans="1:20" x14ac:dyDescent="0.45">
      <c r="A53" s="293" t="s">
        <v>108</v>
      </c>
      <c r="B53" s="297" t="s">
        <v>5</v>
      </c>
      <c r="C53" s="297" t="s">
        <v>958</v>
      </c>
      <c r="D53" s="311">
        <v>2794.81228263</v>
      </c>
      <c r="E53" s="311">
        <v>5596.5194584199999</v>
      </c>
      <c r="F53" s="302">
        <f t="shared" si="3"/>
        <v>1.002467032652909</v>
      </c>
      <c r="G53" s="311">
        <v>4396.4870809599997</v>
      </c>
      <c r="H53" s="311">
        <v>5596.5194584199999</v>
      </c>
      <c r="I53" s="302">
        <f t="shared" si="4"/>
        <v>0.27295255401909779</v>
      </c>
      <c r="J53" s="311">
        <v>6566.0753463199999</v>
      </c>
      <c r="K53" s="311">
        <v>7380.7496196599996</v>
      </c>
      <c r="L53" s="311">
        <v>8089.8730813399998</v>
      </c>
      <c r="M53" s="312">
        <v>10330.47004204</v>
      </c>
      <c r="N53" t="str">
        <f t="shared" si="5"/>
        <v>TurkeyManufacture of electrical equipment (C27)</v>
      </c>
      <c r="O53" s="11">
        <f>INDEX('Base de dados IHS'!$A$1:$V$676,MATCH($N53,'Base de dados IHS'!$C$1:$C$676,0),MATCH($O$1,'Base de dados IHS'!$A$1:$V$1,0))</f>
        <v>659235.83503077005</v>
      </c>
      <c r="P53" s="11">
        <f>INDEX('Base de dados IHS'!$A$1:$V$676,MATCH($N53,'Base de dados IHS'!$C$1:$C$676,0),MATCH($P$1,'Base de dados IHS'!$A$1:$V$1,0))</f>
        <v>865088.75381619995</v>
      </c>
      <c r="Q53" s="131">
        <f>INDEX('Base de dados IHS'!$A$1:$V$676,MATCH($N53,'Base de dados IHS'!$C$1:$C$676,0),MATCH($Q$1,'Base de dados IHS'!$A$1:$V$1,0))</f>
        <v>6.669065677770372E-3</v>
      </c>
      <c r="R53" s="131">
        <f>INDEX('Base de dados IHS'!$A$1:$V$676,MATCH($N53,'Base de dados IHS'!$C$1:$C$676,0),MATCH($R$1,'Base de dados IHS'!$A$1:$V$1,0))</f>
        <v>6.4693009055219524E-3</v>
      </c>
      <c r="S53" s="131">
        <f>INDEX('Base de dados IHS'!$A$1:$V$676,MATCH($N53,'Base de dados IHS'!$C$1:$C$676,0),MATCH($S$1,'Base de dados IHS'!$A$1:$V$1,0))</f>
        <v>-1.9976477224841957E-4</v>
      </c>
      <c r="T53" t="str">
        <f>IF(Q53&lt;'Cenario A ranking setor PIB'!$G$86,"N","Y")</f>
        <v>Y</v>
      </c>
    </row>
    <row r="54" spans="1:20" hidden="1" x14ac:dyDescent="0.45">
      <c r="A54" s="293" t="s">
        <v>147</v>
      </c>
      <c r="B54" s="297" t="s">
        <v>5</v>
      </c>
      <c r="C54" s="297" t="s">
        <v>958</v>
      </c>
      <c r="D54" s="311">
        <v>369.11213038</v>
      </c>
      <c r="E54" s="311">
        <v>345.37925224000003</v>
      </c>
      <c r="F54" s="302">
        <f t="shared" si="3"/>
        <v>-6.4297204525809115E-2</v>
      </c>
      <c r="G54" s="311">
        <v>342.82670910000002</v>
      </c>
      <c r="H54" s="311">
        <v>345.37925224000003</v>
      </c>
      <c r="I54" s="302">
        <f t="shared" si="4"/>
        <v>7.4455783993641056E-3</v>
      </c>
      <c r="J54" s="311">
        <v>279.33234500999998</v>
      </c>
      <c r="K54" s="311">
        <v>317.61169864999999</v>
      </c>
      <c r="L54" s="311">
        <v>351.99851229000001</v>
      </c>
      <c r="M54" s="312">
        <v>447.79965648000001</v>
      </c>
      <c r="N54" t="str">
        <f t="shared" si="5"/>
        <v>PeruManufacture of electrical equipment (C27)</v>
      </c>
      <c r="O54" s="11">
        <f>INDEX('Base de dados IHS'!$A$1:$V$676,MATCH($N54,'Base de dados IHS'!$C$1:$C$676,0),MATCH($O$1,'Base de dados IHS'!$A$1:$V$1,0))</f>
        <v>205342.67167914001</v>
      </c>
      <c r="P54" s="11">
        <f>INDEX('Base de dados IHS'!$A$1:$V$676,MATCH($N54,'Base de dados IHS'!$C$1:$C$676,0),MATCH($P$1,'Base de dados IHS'!$A$1:$V$1,0))</f>
        <v>235110.76142220001</v>
      </c>
      <c r="Q54" s="131">
        <f>INDEX('Base de dados IHS'!$A$1:$V$676,MATCH($N54,'Base de dados IHS'!$C$1:$C$676,0),MATCH($Q$1,'Base de dados IHS'!$A$1:$V$1,0))</f>
        <v>1.6695346675711267E-3</v>
      </c>
      <c r="R54" s="131">
        <f>INDEX('Base de dados IHS'!$A$1:$V$676,MATCH($N54,'Base de dados IHS'!$C$1:$C$676,0),MATCH($R$1,'Base de dados IHS'!$A$1:$V$1,0))</f>
        <v>1.4690065658874093E-3</v>
      </c>
      <c r="S54" s="131">
        <f>INDEX('Base de dados IHS'!$A$1:$V$676,MATCH($N54,'Base de dados IHS'!$C$1:$C$676,0),MATCH($S$1,'Base de dados IHS'!$A$1:$V$1,0))</f>
        <v>-2.0052810168371738E-4</v>
      </c>
      <c r="T54" t="str">
        <f>IF(Q54&lt;'Cenario A ranking setor PIB'!$G$86,"N","Y")</f>
        <v>N</v>
      </c>
    </row>
    <row r="55" spans="1:20" hidden="1" x14ac:dyDescent="0.45">
      <c r="A55" s="293" t="s">
        <v>163</v>
      </c>
      <c r="B55" s="297" t="s">
        <v>5</v>
      </c>
      <c r="C55" s="297" t="s">
        <v>958</v>
      </c>
      <c r="D55" s="311">
        <v>501.32434197999999</v>
      </c>
      <c r="E55" s="311">
        <v>618.51994248000005</v>
      </c>
      <c r="F55" s="302">
        <f t="shared" si="3"/>
        <v>0.23377201281934856</v>
      </c>
      <c r="G55" s="311">
        <v>552.59578972999998</v>
      </c>
      <c r="H55" s="311">
        <v>618.51994248000005</v>
      </c>
      <c r="I55" s="302">
        <f t="shared" si="4"/>
        <v>0.11929905000219199</v>
      </c>
      <c r="J55" s="311">
        <v>620.33760097000004</v>
      </c>
      <c r="K55" s="311">
        <v>638.99459411999999</v>
      </c>
      <c r="L55" s="311">
        <v>653.61409961000004</v>
      </c>
      <c r="M55" s="312">
        <v>684.91811914000004</v>
      </c>
      <c r="N55" t="str">
        <f t="shared" si="5"/>
        <v>New ZealandManufacture of electrical equipment (C27)</v>
      </c>
      <c r="O55" s="11">
        <f>INDEX('Base de dados IHS'!$A$1:$V$676,MATCH($N55,'Base de dados IHS'!$C$1:$C$676,0),MATCH($O$1,'Base de dados IHS'!$A$1:$V$1,0))</f>
        <v>180884.85070677</v>
      </c>
      <c r="P55" s="11">
        <f>INDEX('Base de dados IHS'!$A$1:$V$676,MATCH($N55,'Base de dados IHS'!$C$1:$C$676,0),MATCH($P$1,'Base de dados IHS'!$A$1:$V$1,0))</f>
        <v>220909.49174857</v>
      </c>
      <c r="Q55" s="131">
        <f>INDEX('Base de dados IHS'!$A$1:$V$676,MATCH($N55,'Base de dados IHS'!$C$1:$C$676,0),MATCH($Q$1,'Base de dados IHS'!$A$1:$V$1,0))</f>
        <v>3.0549589286822344E-3</v>
      </c>
      <c r="R55" s="131">
        <f>INDEX('Base de dados IHS'!$A$1:$V$676,MATCH($N55,'Base de dados IHS'!$C$1:$C$676,0),MATCH($R$1,'Base de dados IHS'!$A$1:$V$1,0))</f>
        <v>2.799879432903561E-3</v>
      </c>
      <c r="S55" s="131">
        <f>INDEX('Base de dados IHS'!$A$1:$V$676,MATCH($N55,'Base de dados IHS'!$C$1:$C$676,0),MATCH($S$1,'Base de dados IHS'!$A$1:$V$1,0))</f>
        <v>-2.5507949577867339E-4</v>
      </c>
      <c r="T55" t="str">
        <f>IF(Q55&lt;'Cenario A ranking setor PIB'!$G$86,"N","Y")</f>
        <v>N</v>
      </c>
    </row>
    <row r="56" spans="1:20" hidden="1" x14ac:dyDescent="0.45">
      <c r="A56" s="293" t="s">
        <v>74</v>
      </c>
      <c r="B56" s="297" t="s">
        <v>5</v>
      </c>
      <c r="C56" s="297" t="s">
        <v>958</v>
      </c>
      <c r="D56" s="311">
        <v>1921.06915867</v>
      </c>
      <c r="E56" s="311">
        <v>2252.0907578599999</v>
      </c>
      <c r="F56" s="302">
        <f t="shared" si="3"/>
        <v>0.17231113085963745</v>
      </c>
      <c r="G56" s="311">
        <v>2136.45005747</v>
      </c>
      <c r="H56" s="311">
        <v>2252.0907578599999</v>
      </c>
      <c r="I56" s="302">
        <f t="shared" si="4"/>
        <v>5.4127499955202607E-2</v>
      </c>
      <c r="J56" s="311">
        <v>2596.72253258</v>
      </c>
      <c r="K56" s="311">
        <v>2737.5241307900001</v>
      </c>
      <c r="L56" s="311">
        <v>2815.7488114500002</v>
      </c>
      <c r="M56" s="312">
        <v>3064.9531946699999</v>
      </c>
      <c r="N56" t="str">
        <f t="shared" si="5"/>
        <v>SwedenManufacture of electrical equipment (C27)</v>
      </c>
      <c r="O56" s="11">
        <f>INDEX('Base de dados IHS'!$A$1:$V$676,MATCH($N56,'Base de dados IHS'!$C$1:$C$676,0),MATCH($O$1,'Base de dados IHS'!$A$1:$V$1,0))</f>
        <v>490179.06760786998</v>
      </c>
      <c r="P56" s="11">
        <f>INDEX('Base de dados IHS'!$A$1:$V$676,MATCH($N56,'Base de dados IHS'!$C$1:$C$676,0),MATCH($P$1,'Base de dados IHS'!$A$1:$V$1,0))</f>
        <v>552840.30345001002</v>
      </c>
      <c r="Q56" s="131">
        <f>INDEX('Base de dados IHS'!$A$1:$V$676,MATCH($N56,'Base de dados IHS'!$C$1:$C$676,0),MATCH($Q$1,'Base de dados IHS'!$A$1:$V$1,0))</f>
        <v>4.3585093665792808E-3</v>
      </c>
      <c r="R56" s="131">
        <f>INDEX('Base de dados IHS'!$A$1:$V$676,MATCH($N56,'Base de dados IHS'!$C$1:$C$676,0),MATCH($R$1,'Base de dados IHS'!$A$1:$V$1,0))</f>
        <v>4.0736732539320784E-3</v>
      </c>
      <c r="S56" s="131">
        <f>INDEX('Base de dados IHS'!$A$1:$V$676,MATCH($N56,'Base de dados IHS'!$C$1:$C$676,0),MATCH($S$1,'Base de dados IHS'!$A$1:$V$1,0))</f>
        <v>-2.8483611264720245E-4</v>
      </c>
      <c r="T56" t="str">
        <f>IF(Q56&lt;'Cenario A ranking setor PIB'!$G$86,"N","Y")</f>
        <v>N</v>
      </c>
    </row>
    <row r="57" spans="1:20" x14ac:dyDescent="0.45">
      <c r="A57" s="293" t="s">
        <v>164</v>
      </c>
      <c r="B57" s="297" t="s">
        <v>5</v>
      </c>
      <c r="C57" s="297" t="s">
        <v>958</v>
      </c>
      <c r="D57" s="311">
        <v>857.36163243999999</v>
      </c>
      <c r="E57" s="311">
        <v>888.79499082999996</v>
      </c>
      <c r="F57" s="302">
        <f t="shared" si="3"/>
        <v>3.6662893696960186E-2</v>
      </c>
      <c r="G57" s="311">
        <v>828.55625156999997</v>
      </c>
      <c r="H57" s="311">
        <v>888.79499082999996</v>
      </c>
      <c r="I57" s="302">
        <f t="shared" si="4"/>
        <v>7.2703258403826965E-2</v>
      </c>
      <c r="J57" s="311">
        <v>1095.1655721499999</v>
      </c>
      <c r="K57" s="311">
        <v>1193.26943216</v>
      </c>
      <c r="L57" s="311">
        <v>1248.6667876399999</v>
      </c>
      <c r="M57" s="312">
        <v>1442.05802283</v>
      </c>
      <c r="N57" t="str">
        <f t="shared" si="5"/>
        <v>MoroccoManufacture of electrical equipment (C27)</v>
      </c>
      <c r="O57" s="11">
        <f>INDEX('Base de dados IHS'!$A$1:$V$676,MATCH($N57,'Base de dados IHS'!$C$1:$C$676,0),MATCH($O$1,'Base de dados IHS'!$A$1:$V$1,0))</f>
        <v>115608.87885166</v>
      </c>
      <c r="P57" s="11">
        <f>INDEX('Base de dados IHS'!$A$1:$V$676,MATCH($N57,'Base de dados IHS'!$C$1:$C$676,0),MATCH($P$1,'Base de dados IHS'!$A$1:$V$1,0))</f>
        <v>129710.11086108</v>
      </c>
      <c r="Q57" s="131">
        <f>INDEX('Base de dados IHS'!$A$1:$V$676,MATCH($N57,'Base de dados IHS'!$C$1:$C$676,0),MATCH($Q$1,'Base de dados IHS'!$A$1:$V$1,0))</f>
        <v>7.1668911574961002E-3</v>
      </c>
      <c r="R57" s="131">
        <f>INDEX('Base de dados IHS'!$A$1:$V$676,MATCH($N57,'Base de dados IHS'!$C$1:$C$676,0),MATCH($R$1,'Base de dados IHS'!$A$1:$V$1,0))</f>
        <v>6.8521642987561908E-3</v>
      </c>
      <c r="S57" s="131">
        <f>INDEX('Base de dados IHS'!$A$1:$V$676,MATCH($N57,'Base de dados IHS'!$C$1:$C$676,0),MATCH($S$1,'Base de dados IHS'!$A$1:$V$1,0))</f>
        <v>-3.1472685873990946E-4</v>
      </c>
      <c r="T57" t="str">
        <f>IF(Q57&lt;'Cenario A ranking setor PIB'!$G$86,"N","Y")</f>
        <v>Y</v>
      </c>
    </row>
    <row r="58" spans="1:20" x14ac:dyDescent="0.45">
      <c r="A58" s="293" t="s">
        <v>166</v>
      </c>
      <c r="B58" s="297" t="s">
        <v>5</v>
      </c>
      <c r="C58" s="297" t="s">
        <v>958</v>
      </c>
      <c r="D58" s="311">
        <v>177.99330067</v>
      </c>
      <c r="E58" s="311">
        <v>237.86936234999999</v>
      </c>
      <c r="F58" s="302">
        <f t="shared" si="3"/>
        <v>0.33639502978266789</v>
      </c>
      <c r="G58" s="311">
        <v>207.40880605999999</v>
      </c>
      <c r="H58" s="311">
        <v>237.86936234999999</v>
      </c>
      <c r="I58" s="302">
        <f t="shared" si="4"/>
        <v>0.1468624060310546</v>
      </c>
      <c r="J58" s="311">
        <v>274.87040429000001</v>
      </c>
      <c r="K58" s="311">
        <v>318.73470687999998</v>
      </c>
      <c r="L58" s="311">
        <v>355.94127746999999</v>
      </c>
      <c r="M58" s="312">
        <v>458.22915363999999</v>
      </c>
      <c r="N58" t="str">
        <f t="shared" si="5"/>
        <v>HondurasManufacture of electrical equipment (C27)</v>
      </c>
      <c r="O58" s="11">
        <f>INDEX('Base de dados IHS'!$A$1:$V$676,MATCH($N58,'Base de dados IHS'!$C$1:$C$676,0),MATCH($O$1,'Base de dados IHS'!$A$1:$V$1,0))</f>
        <v>21608.112082880001</v>
      </c>
      <c r="P58" s="11">
        <f>INDEX('Base de dados IHS'!$A$1:$V$676,MATCH($N58,'Base de dados IHS'!$C$1:$C$676,0),MATCH($P$1,'Base de dados IHS'!$A$1:$V$1,0))</f>
        <v>25703.55773198</v>
      </c>
      <c r="Q58" s="131">
        <f>INDEX('Base de dados IHS'!$A$1:$V$676,MATCH($N58,'Base de dados IHS'!$C$1:$C$676,0),MATCH($Q$1,'Base de dados IHS'!$A$1:$V$1,0))</f>
        <v>9.5986546748954033E-3</v>
      </c>
      <c r="R58" s="131">
        <f>INDEX('Base de dados IHS'!$A$1:$V$676,MATCH($N58,'Base de dados IHS'!$C$1:$C$676,0),MATCH($R$1,'Base de dados IHS'!$A$1:$V$1,0))</f>
        <v>9.2543361051550584E-3</v>
      </c>
      <c r="S58" s="131">
        <f>INDEX('Base de dados IHS'!$A$1:$V$676,MATCH($N58,'Base de dados IHS'!$C$1:$C$676,0),MATCH($S$1,'Base de dados IHS'!$A$1:$V$1,0))</f>
        <v>-3.4431856974034489E-4</v>
      </c>
      <c r="T58" t="str">
        <f>IF(Q58&lt;'Cenario A ranking setor PIB'!$G$86,"N","Y")</f>
        <v>Y</v>
      </c>
    </row>
    <row r="59" spans="1:20" hidden="1" x14ac:dyDescent="0.45">
      <c r="A59" s="293" t="s">
        <v>63</v>
      </c>
      <c r="B59" s="297" t="s">
        <v>5</v>
      </c>
      <c r="C59" s="297" t="s">
        <v>958</v>
      </c>
      <c r="D59" s="311">
        <v>2979.8136303699998</v>
      </c>
      <c r="E59" s="311">
        <v>2745.2119328899998</v>
      </c>
      <c r="F59" s="302">
        <f t="shared" si="3"/>
        <v>-7.8730325644852384E-2</v>
      </c>
      <c r="G59" s="311">
        <v>3099.6536968300002</v>
      </c>
      <c r="H59" s="311">
        <v>2745.2119328899998</v>
      </c>
      <c r="I59" s="302">
        <f t="shared" si="4"/>
        <v>-0.11434882687136505</v>
      </c>
      <c r="J59" s="311">
        <v>3194.7751255799999</v>
      </c>
      <c r="K59" s="311">
        <v>3337.1114056400002</v>
      </c>
      <c r="L59" s="311">
        <v>3439.0595410300002</v>
      </c>
      <c r="M59" s="312">
        <v>3745.0546115100001</v>
      </c>
      <c r="N59" t="str">
        <f t="shared" si="5"/>
        <v>CanadaManufacture of electrical equipment (C27)</v>
      </c>
      <c r="O59" s="11">
        <f>INDEX('Base de dados IHS'!$A$1:$V$676,MATCH($N59,'Base de dados IHS'!$C$1:$C$676,0),MATCH($O$1,'Base de dados IHS'!$A$1:$V$1,0))</f>
        <v>1599989.9756132001</v>
      </c>
      <c r="P59" s="11">
        <f>INDEX('Base de dados IHS'!$A$1:$V$676,MATCH($N59,'Base de dados IHS'!$C$1:$C$676,0),MATCH($P$1,'Base de dados IHS'!$A$1:$V$1,0))</f>
        <v>1743385.5162593001</v>
      </c>
      <c r="Q59" s="131">
        <f>INDEX('Base de dados IHS'!$A$1:$V$676,MATCH($N59,'Base de dados IHS'!$C$1:$C$676,0),MATCH($Q$1,'Base de dados IHS'!$A$1:$V$1,0))</f>
        <v>1.9372956981446401E-3</v>
      </c>
      <c r="R59" s="131">
        <f>INDEX('Base de dados IHS'!$A$1:$V$676,MATCH($N59,'Base de dados IHS'!$C$1:$C$676,0),MATCH($R$1,'Base de dados IHS'!$A$1:$V$1,0))</f>
        <v>1.5746442237172368E-3</v>
      </c>
      <c r="S59" s="131">
        <f>INDEX('Base de dados IHS'!$A$1:$V$676,MATCH($N59,'Base de dados IHS'!$C$1:$C$676,0),MATCH($S$1,'Base de dados IHS'!$A$1:$V$1,0))</f>
        <v>-3.6265147442740325E-4</v>
      </c>
      <c r="T59" t="str">
        <f>IF(Q59&lt;'Cenario A ranking setor PIB'!$G$86,"N","Y")</f>
        <v>N</v>
      </c>
    </row>
    <row r="60" spans="1:20" hidden="1" x14ac:dyDescent="0.45">
      <c r="A60" s="293" t="s">
        <v>145</v>
      </c>
      <c r="B60" s="297" t="s">
        <v>5</v>
      </c>
      <c r="C60" s="297" t="s">
        <v>958</v>
      </c>
      <c r="D60" s="311">
        <v>1123.40868024</v>
      </c>
      <c r="E60" s="311">
        <v>1099.0798079199999</v>
      </c>
      <c r="F60" s="302">
        <f t="shared" si="3"/>
        <v>-2.1656297256669399E-2</v>
      </c>
      <c r="G60" s="311">
        <v>1216.1184903599999</v>
      </c>
      <c r="H60" s="311">
        <v>1099.0798079199999</v>
      </c>
      <c r="I60" s="302">
        <f t="shared" si="4"/>
        <v>-9.6239538636859079E-2</v>
      </c>
      <c r="J60" s="311">
        <v>1327.9987978900001</v>
      </c>
      <c r="K60" s="311">
        <v>1435.67557648</v>
      </c>
      <c r="L60" s="311">
        <v>1528.7429074199999</v>
      </c>
      <c r="M60" s="312">
        <v>1758.4092273599999</v>
      </c>
      <c r="N60" t="str">
        <f t="shared" si="5"/>
        <v>South AfricaManufacture of electrical equipment (C27)</v>
      </c>
      <c r="O60" s="11">
        <f>INDEX('Base de dados IHS'!$A$1:$V$676,MATCH($N60,'Base de dados IHS'!$C$1:$C$676,0),MATCH($O$1,'Base de dados IHS'!$A$1:$V$1,0))</f>
        <v>375376.48654821003</v>
      </c>
      <c r="P60" s="11">
        <f>INDEX('Base de dados IHS'!$A$1:$V$676,MATCH($N60,'Base de dados IHS'!$C$1:$C$676,0),MATCH($P$1,'Base de dados IHS'!$A$1:$V$1,0))</f>
        <v>383209.69906191999</v>
      </c>
      <c r="Q60" s="131">
        <f>INDEX('Base de dados IHS'!$A$1:$V$676,MATCH($N60,'Base de dados IHS'!$C$1:$C$676,0),MATCH($Q$1,'Base de dados IHS'!$A$1:$V$1,0))</f>
        <v>3.2397300681853243E-3</v>
      </c>
      <c r="R60" s="131">
        <f>INDEX('Base de dados IHS'!$A$1:$V$676,MATCH($N60,'Base de dados IHS'!$C$1:$C$676,0),MATCH($R$1,'Base de dados IHS'!$A$1:$V$1,0))</f>
        <v>2.8680897446241508E-3</v>
      </c>
      <c r="S60" s="131">
        <f>INDEX('Base de dados IHS'!$A$1:$V$676,MATCH($N60,'Base de dados IHS'!$C$1:$C$676,0),MATCH($S$1,'Base de dados IHS'!$A$1:$V$1,0))</f>
        <v>-3.7164032356117342E-4</v>
      </c>
      <c r="T60" t="str">
        <f>IF(Q60&lt;'Cenario A ranking setor PIB'!$G$86,"N","Y")</f>
        <v>N</v>
      </c>
    </row>
    <row r="61" spans="1:20" hidden="1" x14ac:dyDescent="0.45">
      <c r="A61" s="293" t="s">
        <v>123</v>
      </c>
      <c r="B61" s="297" t="s">
        <v>5</v>
      </c>
      <c r="C61" s="297" t="s">
        <v>958</v>
      </c>
      <c r="D61" s="311">
        <v>514.48775238999997</v>
      </c>
      <c r="E61" s="311">
        <v>480.48847004999999</v>
      </c>
      <c r="F61" s="302">
        <f t="shared" si="3"/>
        <v>-6.6083754534602246E-2</v>
      </c>
      <c r="G61" s="311">
        <v>506.27917645000002</v>
      </c>
      <c r="H61" s="311">
        <v>480.48847004999999</v>
      </c>
      <c r="I61" s="302">
        <f t="shared" si="4"/>
        <v>-5.0941669339124251E-2</v>
      </c>
      <c r="J61" s="311">
        <v>500.03113155</v>
      </c>
      <c r="K61" s="311">
        <v>527.38390451999999</v>
      </c>
      <c r="L61" s="311">
        <v>548.85001297999997</v>
      </c>
      <c r="M61" s="312">
        <v>603.66492604999996</v>
      </c>
      <c r="N61" t="str">
        <f t="shared" si="5"/>
        <v>IsraelManufacture of electrical equipment (C27)</v>
      </c>
      <c r="O61" s="11">
        <f>INDEX('Base de dados IHS'!$A$1:$V$676,MATCH($N61,'Base de dados IHS'!$C$1:$C$676,0),MATCH($O$1,'Base de dados IHS'!$A$1:$V$1,0))</f>
        <v>339252.33917334001</v>
      </c>
      <c r="P61" s="11">
        <f>INDEX('Base de dados IHS'!$A$1:$V$676,MATCH($N61,'Base de dados IHS'!$C$1:$C$676,0),MATCH($P$1,'Base de dados IHS'!$A$1:$V$1,0))</f>
        <v>430314.68651226</v>
      </c>
      <c r="Q61" s="131">
        <f>INDEX('Base de dados IHS'!$A$1:$V$676,MATCH($N61,'Base de dados IHS'!$C$1:$C$676,0),MATCH($Q$1,'Base de dados IHS'!$A$1:$V$1,0))</f>
        <v>1.4923380563378167E-3</v>
      </c>
      <c r="R61" s="131">
        <f>INDEX('Base de dados IHS'!$A$1:$V$676,MATCH($N61,'Base de dados IHS'!$C$1:$C$676,0),MATCH($R$1,'Base de dados IHS'!$A$1:$V$1,0))</f>
        <v>1.1165978878025361E-3</v>
      </c>
      <c r="S61" s="131">
        <f>INDEX('Base de dados IHS'!$A$1:$V$676,MATCH($N61,'Base de dados IHS'!$C$1:$C$676,0),MATCH($S$1,'Base de dados IHS'!$A$1:$V$1,0))</f>
        <v>-3.7574016853528062E-4</v>
      </c>
      <c r="T61" t="str">
        <f>IF(Q61&lt;'Cenario A ranking setor PIB'!$G$86,"N","Y")</f>
        <v>N</v>
      </c>
    </row>
    <row r="62" spans="1:20" x14ac:dyDescent="0.45">
      <c r="A62" s="294" t="s">
        <v>18</v>
      </c>
      <c r="B62" s="299" t="s">
        <v>5</v>
      </c>
      <c r="C62" s="297" t="s">
        <v>958</v>
      </c>
      <c r="D62" s="313">
        <v>11000.9308432</v>
      </c>
      <c r="E62" s="313">
        <v>7914.0344711799999</v>
      </c>
      <c r="F62" s="304">
        <f t="shared" si="3"/>
        <v>-0.2806031976765041</v>
      </c>
      <c r="G62" s="313">
        <v>8596.9176595699992</v>
      </c>
      <c r="H62" s="313">
        <v>7914.0344711799999</v>
      </c>
      <c r="I62" s="304">
        <f t="shared" si="4"/>
        <v>-7.9433491796890854E-2</v>
      </c>
      <c r="J62" s="313">
        <v>7292.2451456299996</v>
      </c>
      <c r="K62" s="313">
        <v>8233.6853015600009</v>
      </c>
      <c r="L62" s="313">
        <v>9005.8993347399992</v>
      </c>
      <c r="M62" s="314">
        <v>10864.456822870001</v>
      </c>
      <c r="N62" t="str">
        <f t="shared" si="5"/>
        <v>BrazilManufacture of electrical equipment (C27)</v>
      </c>
      <c r="O62" s="11">
        <f>INDEX('Base de dados IHS'!$A$1:$V$676,MATCH($N62,'Base de dados IHS'!$C$1:$C$676,0),MATCH($O$1,'Base de dados IHS'!$A$1:$V$1,0))</f>
        <v>1855726.8356911</v>
      </c>
      <c r="P62" s="11">
        <f>INDEX('Base de dados IHS'!$A$1:$V$676,MATCH($N62,'Base de dados IHS'!$C$1:$C$676,0),MATCH($P$1,'Base de dados IHS'!$A$1:$V$1,0))</f>
        <v>1898091.4722179</v>
      </c>
      <c r="Q62" s="131">
        <f>INDEX('Base de dados IHS'!$A$1:$V$676,MATCH($N62,'Base de dados IHS'!$C$1:$C$676,0),MATCH($Q$1,'Base de dados IHS'!$A$1:$V$1,0))</f>
        <v>4.6326417736845303E-3</v>
      </c>
      <c r="R62" s="131">
        <f>INDEX('Base de dados IHS'!$A$1:$V$676,MATCH($N62,'Base de dados IHS'!$C$1:$C$676,0),MATCH($R$1,'Base de dados IHS'!$A$1:$V$1,0))</f>
        <v>4.1694694839614519E-3</v>
      </c>
      <c r="S62" s="131">
        <f>INDEX('Base de dados IHS'!$A$1:$V$676,MATCH($N62,'Base de dados IHS'!$C$1:$C$676,0),MATCH($S$1,'Base de dados IHS'!$A$1:$V$1,0))</f>
        <v>-4.631722897230784E-4</v>
      </c>
      <c r="T62" t="str">
        <f>IF(Q62&lt;'Cenario A ranking setor PIB'!$G$86,"N","Y")</f>
        <v>Y</v>
      </c>
    </row>
    <row r="63" spans="1:20" x14ac:dyDescent="0.45">
      <c r="A63" s="293" t="s">
        <v>146</v>
      </c>
      <c r="B63" s="297" t="s">
        <v>5</v>
      </c>
      <c r="C63" s="297" t="s">
        <v>958</v>
      </c>
      <c r="D63" s="311">
        <v>3229.8444280499998</v>
      </c>
      <c r="E63" s="311">
        <v>2541.2701446900001</v>
      </c>
      <c r="F63" s="302">
        <f t="shared" si="3"/>
        <v>-0.213191160967379</v>
      </c>
      <c r="G63" s="311">
        <v>2112.3908125500002</v>
      </c>
      <c r="H63" s="311">
        <v>2541.2701446900001</v>
      </c>
      <c r="I63" s="302">
        <f t="shared" si="4"/>
        <v>0.20303029609481804</v>
      </c>
      <c r="J63" s="311">
        <v>3355.1238306</v>
      </c>
      <c r="K63" s="311">
        <v>3984.5581942700001</v>
      </c>
      <c r="L63" s="311">
        <v>4443.3544671400005</v>
      </c>
      <c r="M63" s="312">
        <v>5770.0321240000003</v>
      </c>
      <c r="N63" t="str">
        <f t="shared" si="5"/>
        <v>EgyptManufacture of electrical equipment (C27)</v>
      </c>
      <c r="O63" s="11">
        <f>INDEX('Base de dados IHS'!$A$1:$V$676,MATCH($N63,'Base de dados IHS'!$C$1:$C$676,0),MATCH($O$1,'Base de dados IHS'!$A$1:$V$1,0))</f>
        <v>276522.47435759002</v>
      </c>
      <c r="P63" s="11">
        <f>INDEX('Base de dados IHS'!$A$1:$V$676,MATCH($N63,'Base de dados IHS'!$C$1:$C$676,0),MATCH($P$1,'Base de dados IHS'!$A$1:$V$1,0))</f>
        <v>357883.01385108999</v>
      </c>
      <c r="Q63" s="131">
        <f>INDEX('Base de dados IHS'!$A$1:$V$676,MATCH($N63,'Base de dados IHS'!$C$1:$C$676,0),MATCH($Q$1,'Base de dados IHS'!$A$1:$V$1,0))</f>
        <v>7.639128853658108E-3</v>
      </c>
      <c r="R63" s="131">
        <f>INDEX('Base de dados IHS'!$A$1:$V$676,MATCH($N63,'Base de dados IHS'!$C$1:$C$676,0),MATCH($R$1,'Base de dados IHS'!$A$1:$V$1,0))</f>
        <v>7.1008403482021257E-3</v>
      </c>
      <c r="S63" s="131">
        <f>INDEX('Base de dados IHS'!$A$1:$V$676,MATCH($N63,'Base de dados IHS'!$C$1:$C$676,0),MATCH($S$1,'Base de dados IHS'!$A$1:$V$1,0))</f>
        <v>-5.3828850545598224E-4</v>
      </c>
      <c r="T63" t="str">
        <f>IF(Q63&lt;'Cenario A ranking setor PIB'!$G$86,"N","Y")</f>
        <v>Y</v>
      </c>
    </row>
    <row r="64" spans="1:20" hidden="1" x14ac:dyDescent="0.45">
      <c r="A64" s="293" t="s">
        <v>142</v>
      </c>
      <c r="B64" s="297" t="s">
        <v>5</v>
      </c>
      <c r="C64" s="297" t="s">
        <v>958</v>
      </c>
      <c r="D64" s="311">
        <v>880.44510714</v>
      </c>
      <c r="E64" s="311">
        <v>644.94594142000005</v>
      </c>
      <c r="F64" s="302">
        <f t="shared" si="3"/>
        <v>-0.26747739729622133</v>
      </c>
      <c r="G64" s="311">
        <v>935.11831971000004</v>
      </c>
      <c r="H64" s="311">
        <v>644.94594142000005</v>
      </c>
      <c r="I64" s="302">
        <f t="shared" si="4"/>
        <v>-0.31030552195789363</v>
      </c>
      <c r="J64" s="311">
        <v>726.44029680999995</v>
      </c>
      <c r="K64" s="311">
        <v>793.13712710000004</v>
      </c>
      <c r="L64" s="311">
        <v>842.84042059000001</v>
      </c>
      <c r="M64" s="312">
        <v>985.55884021999998</v>
      </c>
      <c r="N64" t="str">
        <f t="shared" si="5"/>
        <v>ArgentinaManufacture of electrical equipment (C27)</v>
      </c>
      <c r="O64" s="11">
        <f>INDEX('Base de dados IHS'!$A$1:$V$676,MATCH($N64,'Base de dados IHS'!$C$1:$C$676,0),MATCH($O$1,'Base de dados IHS'!$A$1:$V$1,0))</f>
        <v>464976.94374428003</v>
      </c>
      <c r="P64" s="11">
        <f>INDEX('Base de dados IHS'!$A$1:$V$676,MATCH($N64,'Base de dados IHS'!$C$1:$C$676,0),MATCH($P$1,'Base de dados IHS'!$A$1:$V$1,0))</f>
        <v>445673.70595729002</v>
      </c>
      <c r="Q64" s="131">
        <f>INDEX('Base de dados IHS'!$A$1:$V$676,MATCH($N64,'Base de dados IHS'!$C$1:$C$676,0),MATCH($Q$1,'Base de dados IHS'!$A$1:$V$1,0))</f>
        <v>2.0111068565676674E-3</v>
      </c>
      <c r="R64" s="131">
        <f>INDEX('Base de dados IHS'!$A$1:$V$676,MATCH($N64,'Base de dados IHS'!$C$1:$C$676,0),MATCH($R$1,'Base de dados IHS'!$A$1:$V$1,0))</f>
        <v>1.4471258519384287E-3</v>
      </c>
      <c r="S64" s="131">
        <f>INDEX('Base de dados IHS'!$A$1:$V$676,MATCH($N64,'Base de dados IHS'!$C$1:$C$676,0),MATCH($S$1,'Base de dados IHS'!$A$1:$V$1,0))</f>
        <v>-5.6398100462923869E-4</v>
      </c>
      <c r="T64" t="str">
        <f>IF(Q64&lt;'Cenario A ranking setor PIB'!$G$86,"N","Y")</f>
        <v>N</v>
      </c>
    </row>
    <row r="65" spans="1:20" x14ac:dyDescent="0.45">
      <c r="A65" s="293" t="s">
        <v>109</v>
      </c>
      <c r="B65" s="297" t="s">
        <v>5</v>
      </c>
      <c r="C65" s="297" t="s">
        <v>958</v>
      </c>
      <c r="D65" s="311">
        <v>3135.4934004199999</v>
      </c>
      <c r="E65" s="311">
        <v>3132.0218467200002</v>
      </c>
      <c r="F65" s="302">
        <f t="shared" si="3"/>
        <v>-1.1071793994319457E-3</v>
      </c>
      <c r="G65" s="311">
        <v>3135.1007768099998</v>
      </c>
      <c r="H65" s="311">
        <v>3132.0218467200002</v>
      </c>
      <c r="I65" s="302">
        <f t="shared" si="4"/>
        <v>-9.8208329147631002E-4</v>
      </c>
      <c r="J65" s="311">
        <v>3041.96095728</v>
      </c>
      <c r="K65" s="311">
        <v>3492.25000052</v>
      </c>
      <c r="L65" s="311">
        <v>3850.9675472899999</v>
      </c>
      <c r="M65" s="312">
        <v>4794.9163760700003</v>
      </c>
      <c r="N65" t="str">
        <f t="shared" si="5"/>
        <v>ThailandManufacture of electrical equipment (C27)</v>
      </c>
      <c r="O65" s="11">
        <f>INDEX('Base de dados IHS'!$A$1:$V$676,MATCH($N65,'Base de dados IHS'!$C$1:$C$676,0),MATCH($O$1,'Base de dados IHS'!$A$1:$V$1,0))</f>
        <v>474324.68093352998</v>
      </c>
      <c r="P65" s="11">
        <f>INDEX('Base de dados IHS'!$A$1:$V$676,MATCH($N65,'Base de dados IHS'!$C$1:$C$676,0),MATCH($P$1,'Base de dados IHS'!$A$1:$V$1,0))</f>
        <v>518585.14704719</v>
      </c>
      <c r="Q65" s="131">
        <f>INDEX('Base de dados IHS'!$A$1:$V$676,MATCH($N65,'Base de dados IHS'!$C$1:$C$676,0),MATCH($Q$1,'Base de dados IHS'!$A$1:$V$1,0))</f>
        <v>6.6096092040577176E-3</v>
      </c>
      <c r="R65" s="131">
        <f>INDEX('Base de dados IHS'!$A$1:$V$676,MATCH($N65,'Base de dados IHS'!$C$1:$C$676,0),MATCH($R$1,'Base de dados IHS'!$A$1:$V$1,0))</f>
        <v>6.0395517776659228E-3</v>
      </c>
      <c r="S65" s="131">
        <f>INDEX('Base de dados IHS'!$A$1:$V$676,MATCH($N65,'Base de dados IHS'!$C$1:$C$676,0),MATCH($S$1,'Base de dados IHS'!$A$1:$V$1,0))</f>
        <v>-5.7005742639179482E-4</v>
      </c>
      <c r="T65" t="str">
        <f>IF(Q65&lt;'Cenario A ranking setor PIB'!$G$86,"N","Y")</f>
        <v>Y</v>
      </c>
    </row>
    <row r="66" spans="1:20" hidden="1" x14ac:dyDescent="0.45">
      <c r="A66" s="293" t="s">
        <v>118</v>
      </c>
      <c r="B66" s="297" t="s">
        <v>5</v>
      </c>
      <c r="C66" s="297" t="s">
        <v>958</v>
      </c>
      <c r="D66" s="311">
        <v>2319.7777230800002</v>
      </c>
      <c r="E66" s="311">
        <v>1328.13548386</v>
      </c>
      <c r="F66" s="302">
        <f t="shared" ref="F66:F76" si="6">H66/D66-1</f>
        <v>-0.42747295542754993</v>
      </c>
      <c r="G66" s="311">
        <v>1536.59129925</v>
      </c>
      <c r="H66" s="311">
        <v>1328.13548386</v>
      </c>
      <c r="I66" s="302">
        <f t="shared" ref="I66:I97" si="7">H66/G66-1</f>
        <v>-0.13566119728241721</v>
      </c>
      <c r="J66" s="311">
        <v>1134.0403912700001</v>
      </c>
      <c r="K66" s="311">
        <v>1093.41666551</v>
      </c>
      <c r="L66" s="311">
        <v>1117.8035285200001</v>
      </c>
      <c r="M66" s="312">
        <v>1137.40062751</v>
      </c>
      <c r="N66" t="str">
        <f t="shared" ref="N66:N76" si="8">A66&amp;B66</f>
        <v>BelgiumManufacture of electrical equipment (C27)</v>
      </c>
      <c r="O66" s="11">
        <f>INDEX('Base de dados IHS'!$A$1:$V$676,MATCH($N66,'Base de dados IHS'!$C$1:$C$676,0),MATCH($O$1,'Base de dados IHS'!$A$1:$V$1,0))</f>
        <v>500331.50984029</v>
      </c>
      <c r="P66" s="11">
        <f>INDEX('Base de dados IHS'!$A$1:$V$676,MATCH($N66,'Base de dados IHS'!$C$1:$C$676,0),MATCH($P$1,'Base de dados IHS'!$A$1:$V$1,0))</f>
        <v>542439.84157398995</v>
      </c>
      <c r="Q66" s="131">
        <f>INDEX('Base de dados IHS'!$A$1:$V$676,MATCH($N66,'Base de dados IHS'!$C$1:$C$676,0),MATCH($Q$1,'Base de dados IHS'!$A$1:$V$1,0))</f>
        <v>3.0711463680160637E-3</v>
      </c>
      <c r="R66" s="131">
        <f>INDEX('Base de dados IHS'!$A$1:$V$676,MATCH($N66,'Base de dados IHS'!$C$1:$C$676,0),MATCH($R$1,'Base de dados IHS'!$A$1:$V$1,0))</f>
        <v>2.4484475181730165E-3</v>
      </c>
      <c r="S66" s="131">
        <f>INDEX('Base de dados IHS'!$A$1:$V$676,MATCH($N66,'Base de dados IHS'!$C$1:$C$676,0),MATCH($S$1,'Base de dados IHS'!$A$1:$V$1,0))</f>
        <v>-6.2269884984304715E-4</v>
      </c>
      <c r="T66" t="str">
        <f>IF(Q66&lt;'Cenario A ranking setor PIB'!$G$86,"N","Y")</f>
        <v>N</v>
      </c>
    </row>
    <row r="67" spans="1:20" x14ac:dyDescent="0.45">
      <c r="A67" s="293" t="s">
        <v>176</v>
      </c>
      <c r="B67" s="297" t="s">
        <v>5</v>
      </c>
      <c r="C67" s="297" t="s">
        <v>958</v>
      </c>
      <c r="D67" s="311">
        <v>246.78819111999999</v>
      </c>
      <c r="E67" s="311">
        <v>186.02150567999999</v>
      </c>
      <c r="F67" s="302">
        <f t="shared" si="6"/>
        <v>-0.24623011807907935</v>
      </c>
      <c r="G67" s="311">
        <v>200.13711966</v>
      </c>
      <c r="H67" s="311">
        <v>186.02150567999999</v>
      </c>
      <c r="I67" s="302">
        <f t="shared" si="7"/>
        <v>-7.0529714847401115E-2</v>
      </c>
      <c r="J67" s="311">
        <v>242.81278674000001</v>
      </c>
      <c r="K67" s="311">
        <v>268.95933925999998</v>
      </c>
      <c r="L67" s="311">
        <v>288.60916621000001</v>
      </c>
      <c r="M67" s="312">
        <v>335.46716301999999</v>
      </c>
      <c r="N67" t="str">
        <f t="shared" si="8"/>
        <v>JordanManufacture of electrical equipment (C27)</v>
      </c>
      <c r="O67" s="11">
        <f>INDEX('Base de dados IHS'!$A$1:$V$676,MATCH($N67,'Base de dados IHS'!$C$1:$C$676,0),MATCH($O$1,'Base de dados IHS'!$A$1:$V$1,0))</f>
        <v>41181.394892199998</v>
      </c>
      <c r="P67" s="11">
        <f>INDEX('Base de dados IHS'!$A$1:$V$676,MATCH($N67,'Base de dados IHS'!$C$1:$C$676,0),MATCH($P$1,'Base de dados IHS'!$A$1:$V$1,0))</f>
        <v>44841.419332370002</v>
      </c>
      <c r="Q67" s="131">
        <f>INDEX('Base de dados IHS'!$A$1:$V$676,MATCH($N67,'Base de dados IHS'!$C$1:$C$676,0),MATCH($Q$1,'Base de dados IHS'!$A$1:$V$1,0))</f>
        <v>4.859891710416714E-3</v>
      </c>
      <c r="R67" s="131">
        <f>INDEX('Base de dados IHS'!$A$1:$V$676,MATCH($N67,'Base de dados IHS'!$C$1:$C$676,0),MATCH($R$1,'Base de dados IHS'!$A$1:$V$1,0))</f>
        <v>4.1484303674954219E-3</v>
      </c>
      <c r="S67" s="131">
        <f>INDEX('Base de dados IHS'!$A$1:$V$676,MATCH($N67,'Base de dados IHS'!$C$1:$C$676,0),MATCH($S$1,'Base de dados IHS'!$A$1:$V$1,0))</f>
        <v>-7.1146134292129209E-4</v>
      </c>
      <c r="T67" t="str">
        <f>IF(Q67&lt;'Cenario A ranking setor PIB'!$G$86,"N","Y")</f>
        <v>Y</v>
      </c>
    </row>
    <row r="68" spans="1:20" hidden="1" x14ac:dyDescent="0.45">
      <c r="A68" s="293" t="s">
        <v>141</v>
      </c>
      <c r="B68" s="297" t="s">
        <v>5</v>
      </c>
      <c r="C68" s="297" t="s">
        <v>958</v>
      </c>
      <c r="D68" s="311">
        <v>55412.539439499997</v>
      </c>
      <c r="E68" s="311">
        <v>57381.736942030002</v>
      </c>
      <c r="F68" s="302">
        <f t="shared" si="6"/>
        <v>3.5537037689456374E-2</v>
      </c>
      <c r="G68" s="311">
        <v>64491.481314509998</v>
      </c>
      <c r="H68" s="311">
        <v>57381.736942030002</v>
      </c>
      <c r="I68" s="302">
        <f t="shared" si="7"/>
        <v>-0.11024315502705573</v>
      </c>
      <c r="J68" s="311">
        <v>57123.328131080001</v>
      </c>
      <c r="K68" s="311">
        <v>61168.823374530002</v>
      </c>
      <c r="L68" s="311">
        <v>63910.370208560002</v>
      </c>
      <c r="M68" s="312">
        <v>71055.646778609997</v>
      </c>
      <c r="N68" t="str">
        <f t="shared" si="8"/>
        <v>United StatesManufacture of electrical equipment (C27)</v>
      </c>
      <c r="O68" s="11">
        <f>INDEX('Base de dados IHS'!$A$1:$V$676,MATCH($N68,'Base de dados IHS'!$C$1:$C$676,0),MATCH($O$1,'Base de dados IHS'!$A$1:$V$1,0))</f>
        <v>19553083.060252</v>
      </c>
      <c r="P68" s="11">
        <f>INDEX('Base de dados IHS'!$A$1:$V$676,MATCH($N68,'Base de dados IHS'!$C$1:$C$676,0),MATCH($P$1,'Base de dados IHS'!$A$1:$V$1,0))</f>
        <v>22265681.170655001</v>
      </c>
      <c r="Q68" s="131">
        <f>INDEX('Base de dados IHS'!$A$1:$V$676,MATCH($N68,'Base de dados IHS'!$C$1:$C$676,0),MATCH($Q$1,'Base de dados IHS'!$A$1:$V$1,0))</f>
        <v>3.2982768556642562E-3</v>
      </c>
      <c r="R68" s="131">
        <f>INDEX('Base de dados IHS'!$A$1:$V$676,MATCH($N68,'Base de dados IHS'!$C$1:$C$676,0),MATCH($R$1,'Base de dados IHS'!$A$1:$V$1,0))</f>
        <v>2.5771381752136163E-3</v>
      </c>
      <c r="S68" s="131">
        <f>INDEX('Base de dados IHS'!$A$1:$V$676,MATCH($N68,'Base de dados IHS'!$C$1:$C$676,0),MATCH($S$1,'Base de dados IHS'!$A$1:$V$1,0))</f>
        <v>-7.2113868045063992E-4</v>
      </c>
      <c r="T68" t="str">
        <f>IF(Q68&lt;'Cenario A ranking setor PIB'!$G$86,"N","Y")</f>
        <v>N</v>
      </c>
    </row>
    <row r="69" spans="1:20" x14ac:dyDescent="0.45">
      <c r="A69" s="293" t="s">
        <v>67</v>
      </c>
      <c r="B69" s="297" t="s">
        <v>5</v>
      </c>
      <c r="C69" s="297" t="s">
        <v>958</v>
      </c>
      <c r="D69" s="311">
        <v>4912.9926050900003</v>
      </c>
      <c r="E69" s="311">
        <v>4616.3561184700002</v>
      </c>
      <c r="F69" s="302">
        <f t="shared" si="6"/>
        <v>-6.0377963181274974E-2</v>
      </c>
      <c r="G69" s="311">
        <v>4663.3603192500004</v>
      </c>
      <c r="H69" s="311">
        <v>4616.3561184700002</v>
      </c>
      <c r="I69" s="302">
        <f t="shared" si="7"/>
        <v>-1.0079470073536934E-2</v>
      </c>
      <c r="J69" s="311">
        <v>4849.8185993400002</v>
      </c>
      <c r="K69" s="311">
        <v>5057.2910011900003</v>
      </c>
      <c r="L69" s="311">
        <v>5210.6440715899998</v>
      </c>
      <c r="M69" s="312">
        <v>5549.3107294800002</v>
      </c>
      <c r="N69" t="str">
        <f t="shared" si="8"/>
        <v>SwitzerlandManufacture of electrical equipment (C27)</v>
      </c>
      <c r="O69" s="11">
        <f>INDEX('Base de dados IHS'!$A$1:$V$676,MATCH($N69,'Base de dados IHS'!$C$1:$C$676,0),MATCH($O$1,'Base de dados IHS'!$A$1:$V$1,0))</f>
        <v>669989.49931316997</v>
      </c>
      <c r="P69" s="11">
        <f>INDEX('Base de dados IHS'!$A$1:$V$676,MATCH($N69,'Base de dados IHS'!$C$1:$C$676,0),MATCH($P$1,'Base de dados IHS'!$A$1:$V$1,0))</f>
        <v>743458.79269773001</v>
      </c>
      <c r="Q69" s="131">
        <f>INDEX('Base de dados IHS'!$A$1:$V$676,MATCH($N69,'Base de dados IHS'!$C$1:$C$676,0),MATCH($Q$1,'Base de dados IHS'!$A$1:$V$1,0))</f>
        <v>6.9603483696842666E-3</v>
      </c>
      <c r="R69" s="131">
        <f>INDEX('Base de dados IHS'!$A$1:$V$676,MATCH($N69,'Base de dados IHS'!$C$1:$C$676,0),MATCH($R$1,'Base de dados IHS'!$A$1:$V$1,0))</f>
        <v>6.2092965525621059E-3</v>
      </c>
      <c r="S69" s="131">
        <f>INDEX('Base de dados IHS'!$A$1:$V$676,MATCH($N69,'Base de dados IHS'!$C$1:$C$676,0),MATCH($S$1,'Base de dados IHS'!$A$1:$V$1,0))</f>
        <v>-7.5105181712216071E-4</v>
      </c>
      <c r="T69" t="str">
        <f>IF(Q69&lt;'Cenario A ranking setor PIB'!$G$86,"N","Y")</f>
        <v>Y</v>
      </c>
    </row>
    <row r="70" spans="1:20" x14ac:dyDescent="0.45">
      <c r="A70" s="293" t="s">
        <v>107</v>
      </c>
      <c r="B70" s="297" t="s">
        <v>5</v>
      </c>
      <c r="C70" s="297" t="s">
        <v>958</v>
      </c>
      <c r="D70" s="311">
        <v>1045.42203318</v>
      </c>
      <c r="E70" s="311">
        <v>1155.9612293099999</v>
      </c>
      <c r="F70" s="302">
        <f t="shared" si="6"/>
        <v>0.10573643238966191</v>
      </c>
      <c r="G70" s="311">
        <v>1175.4370579700001</v>
      </c>
      <c r="H70" s="311">
        <v>1155.9612293099999</v>
      </c>
      <c r="I70" s="302">
        <f t="shared" si="7"/>
        <v>-1.6569010248524307E-2</v>
      </c>
      <c r="J70" s="311">
        <v>1487.82318895</v>
      </c>
      <c r="K70" s="311">
        <v>1715.23171127</v>
      </c>
      <c r="L70" s="311">
        <v>1844.96936153</v>
      </c>
      <c r="M70" s="312">
        <v>2172.18625423</v>
      </c>
      <c r="N70" t="str">
        <f t="shared" si="8"/>
        <v>IranManufacture of electrical equipment (C27)</v>
      </c>
      <c r="O70" s="11">
        <f>INDEX('Base de dados IHS'!$A$1:$V$676,MATCH($N70,'Base de dados IHS'!$C$1:$C$676,0),MATCH($O$1,'Base de dados IHS'!$A$1:$V$1,0))</f>
        <v>195024.47923529</v>
      </c>
      <c r="P70" s="11">
        <f>INDEX('Base de dados IHS'!$A$1:$V$676,MATCH($N70,'Base de dados IHS'!$C$1:$C$676,0),MATCH($P$1,'Base de dados IHS'!$A$1:$V$1,0))</f>
        <v>224406.94908081999</v>
      </c>
      <c r="Q70" s="131">
        <f>INDEX('Base de dados IHS'!$A$1:$V$676,MATCH($N70,'Base de dados IHS'!$C$1:$C$676,0),MATCH($Q$1,'Base de dados IHS'!$A$1:$V$1,0))</f>
        <v>6.0271257361076075E-3</v>
      </c>
      <c r="R70" s="131">
        <f>INDEX('Base de dados IHS'!$A$1:$V$676,MATCH($N70,'Base de dados IHS'!$C$1:$C$676,0),MATCH($R$1,'Base de dados IHS'!$A$1:$V$1,0))</f>
        <v>5.1511828579500953E-3</v>
      </c>
      <c r="S70" s="131">
        <f>INDEX('Base de dados IHS'!$A$1:$V$676,MATCH($N70,'Base de dados IHS'!$C$1:$C$676,0),MATCH($S$1,'Base de dados IHS'!$A$1:$V$1,0))</f>
        <v>-8.759428781575122E-4</v>
      </c>
      <c r="T70" t="str">
        <f>IF(Q70&lt;'Cenario A ranking setor PIB'!$G$86,"N","Y")</f>
        <v>Y</v>
      </c>
    </row>
    <row r="71" spans="1:20" hidden="1" x14ac:dyDescent="0.45">
      <c r="A71" s="293" t="s">
        <v>106</v>
      </c>
      <c r="B71" s="297" t="s">
        <v>5</v>
      </c>
      <c r="C71" s="297" t="s">
        <v>958</v>
      </c>
      <c r="D71" s="311">
        <v>4849.51714051</v>
      </c>
      <c r="E71" s="311">
        <v>2991.3366093499999</v>
      </c>
      <c r="F71" s="302">
        <f t="shared" si="6"/>
        <v>-0.38316815413185334</v>
      </c>
      <c r="G71" s="311">
        <v>4165.1937725500002</v>
      </c>
      <c r="H71" s="311">
        <v>2991.3366093499999</v>
      </c>
      <c r="I71" s="302">
        <f t="shared" si="7"/>
        <v>-0.28182534290147698</v>
      </c>
      <c r="J71" s="311">
        <v>2968.5410898599998</v>
      </c>
      <c r="K71" s="311">
        <v>3104.0362557799999</v>
      </c>
      <c r="L71" s="311">
        <v>3201.93835549</v>
      </c>
      <c r="M71" s="312">
        <v>3396.4220804400002</v>
      </c>
      <c r="N71" t="str">
        <f t="shared" si="8"/>
        <v>RussiaManufacture of electrical equipment (C27)</v>
      </c>
      <c r="O71" s="11">
        <f>INDEX('Base de dados IHS'!$A$1:$V$676,MATCH($N71,'Base de dados IHS'!$C$1:$C$676,0),MATCH($O$1,'Base de dados IHS'!$A$1:$V$1,0))</f>
        <v>1579786.0768998</v>
      </c>
      <c r="P71" s="11">
        <f>INDEX('Base de dados IHS'!$A$1:$V$676,MATCH($N71,'Base de dados IHS'!$C$1:$C$676,0),MATCH($P$1,'Base de dados IHS'!$A$1:$V$1,0))</f>
        <v>1741025.8573970001</v>
      </c>
      <c r="Q71" s="131">
        <f>INDEX('Base de dados IHS'!$A$1:$V$676,MATCH($N71,'Base de dados IHS'!$C$1:$C$676,0),MATCH($Q$1,'Base de dados IHS'!$A$1:$V$1,0))</f>
        <v>2.636555564993869E-3</v>
      </c>
      <c r="R71" s="131">
        <f>INDEX('Base de dados IHS'!$A$1:$V$676,MATCH($N71,'Base de dados IHS'!$C$1:$C$676,0),MATCH($R$1,'Base de dados IHS'!$A$1:$V$1,0))</f>
        <v>1.718145998028044E-3</v>
      </c>
      <c r="S71" s="131">
        <f>INDEX('Base de dados IHS'!$A$1:$V$676,MATCH($N71,'Base de dados IHS'!$C$1:$C$676,0),MATCH($S$1,'Base de dados IHS'!$A$1:$V$1,0))</f>
        <v>-9.1840956696582501E-4</v>
      </c>
      <c r="T71" t="str">
        <f>IF(Q71&lt;'Cenario A ranking setor PIB'!$G$86,"N","Y")</f>
        <v>N</v>
      </c>
    </row>
    <row r="72" spans="1:20" hidden="1" x14ac:dyDescent="0.45">
      <c r="A72" s="293" t="s">
        <v>70</v>
      </c>
      <c r="B72" s="297" t="s">
        <v>5</v>
      </c>
      <c r="C72" s="297" t="s">
        <v>958</v>
      </c>
      <c r="D72" s="311">
        <v>7445.6949336099997</v>
      </c>
      <c r="E72" s="311">
        <v>7846.3864935800002</v>
      </c>
      <c r="F72" s="302">
        <f t="shared" si="6"/>
        <v>5.3815199728540097E-2</v>
      </c>
      <c r="G72" s="311">
        <v>8051.3466163700004</v>
      </c>
      <c r="H72" s="311">
        <v>7846.3864935800002</v>
      </c>
      <c r="I72" s="302">
        <f t="shared" si="7"/>
        <v>-2.5456626395052417E-2</v>
      </c>
      <c r="J72" s="311">
        <v>8883.9994001199993</v>
      </c>
      <c r="K72" s="311">
        <v>10821.516471680001</v>
      </c>
      <c r="L72" s="311">
        <v>12348.684274609999</v>
      </c>
      <c r="M72" s="312">
        <v>16265.28342799</v>
      </c>
      <c r="N72" t="str">
        <f t="shared" si="8"/>
        <v>IndiaManufacture of electrical equipment (C27)</v>
      </c>
      <c r="O72" s="11">
        <f>INDEX('Base de dados IHS'!$A$1:$V$676,MATCH($N72,'Base de dados IHS'!$C$1:$C$676,0),MATCH($O$1,'Base de dados IHS'!$A$1:$V$1,0))</f>
        <v>2233583.9807687998</v>
      </c>
      <c r="P72" s="11">
        <f>INDEX('Base de dados IHS'!$A$1:$V$676,MATCH($N72,'Base de dados IHS'!$C$1:$C$676,0),MATCH($P$1,'Base de dados IHS'!$A$1:$V$1,0))</f>
        <v>2928405.219999</v>
      </c>
      <c r="Q72" s="131">
        <f>INDEX('Base de dados IHS'!$A$1:$V$676,MATCH($N72,'Base de dados IHS'!$C$1:$C$676,0),MATCH($Q$1,'Base de dados IHS'!$A$1:$V$1,0))</f>
        <v>3.6046760210013355E-3</v>
      </c>
      <c r="R72" s="131">
        <f>INDEX('Base de dados IHS'!$A$1:$V$676,MATCH($N72,'Base de dados IHS'!$C$1:$C$676,0),MATCH($R$1,'Base de dados IHS'!$A$1:$V$1,0))</f>
        <v>2.6794059920377685E-3</v>
      </c>
      <c r="S72" s="131">
        <f>INDEX('Base de dados IHS'!$A$1:$V$676,MATCH($N72,'Base de dados IHS'!$C$1:$C$676,0),MATCH($S$1,'Base de dados IHS'!$A$1:$V$1,0))</f>
        <v>-9.2527002896356696E-4</v>
      </c>
      <c r="T72" t="str">
        <f>IF(Q72&lt;'Cenario A ranking setor PIB'!$G$86,"N","Y")</f>
        <v>N</v>
      </c>
    </row>
    <row r="73" spans="1:20" x14ac:dyDescent="0.45">
      <c r="A73" s="293" t="s">
        <v>158</v>
      </c>
      <c r="B73" s="297" t="s">
        <v>5</v>
      </c>
      <c r="C73" s="297" t="s">
        <v>958</v>
      </c>
      <c r="D73" s="311">
        <v>341.79818311000002</v>
      </c>
      <c r="E73" s="311">
        <v>481.89435047000001</v>
      </c>
      <c r="F73" s="302">
        <f t="shared" si="6"/>
        <v>0.40987978954502857</v>
      </c>
      <c r="G73" s="311">
        <v>415.57799062999999</v>
      </c>
      <c r="H73" s="311">
        <v>481.89435047000001</v>
      </c>
      <c r="I73" s="302">
        <f t="shared" si="7"/>
        <v>0.15957620792060467</v>
      </c>
      <c r="J73" s="311">
        <v>526.29355629999998</v>
      </c>
      <c r="K73" s="311">
        <v>601.76880177999999</v>
      </c>
      <c r="L73" s="311">
        <v>668.27132537</v>
      </c>
      <c r="M73" s="312">
        <v>864.00540138999997</v>
      </c>
      <c r="N73" t="str">
        <f t="shared" si="8"/>
        <v>GhanaManufacture of electrical equipment (C27)</v>
      </c>
      <c r="O73" s="11">
        <f>INDEX('Base de dados IHS'!$A$1:$V$676,MATCH($N73,'Base de dados IHS'!$C$1:$C$676,0),MATCH($O$1,'Base de dados IHS'!$A$1:$V$1,0))</f>
        <v>54050.698328470004</v>
      </c>
      <c r="P73" s="11">
        <f>INDEX('Base de dados IHS'!$A$1:$V$676,MATCH($N73,'Base de dados IHS'!$C$1:$C$676,0),MATCH($P$1,'Base de dados IHS'!$A$1:$V$1,0))</f>
        <v>72367.878986030002</v>
      </c>
      <c r="Q73" s="131">
        <f>INDEX('Base de dados IHS'!$A$1:$V$676,MATCH($N73,'Base de dados IHS'!$C$1:$C$676,0),MATCH($Q$1,'Base de dados IHS'!$A$1:$V$1,0))</f>
        <v>7.688670146396675E-3</v>
      </c>
      <c r="R73" s="131">
        <f>INDEX('Base de dados IHS'!$A$1:$V$676,MATCH($N73,'Base de dados IHS'!$C$1:$C$676,0),MATCH($R$1,'Base de dados IHS'!$A$1:$V$1,0))</f>
        <v>6.658953630007943E-3</v>
      </c>
      <c r="S73" s="131">
        <f>INDEX('Base de dados IHS'!$A$1:$V$676,MATCH($N73,'Base de dados IHS'!$C$1:$C$676,0),MATCH($S$1,'Base de dados IHS'!$A$1:$V$1,0))</f>
        <v>-1.0297165163887321E-3</v>
      </c>
      <c r="T73" t="str">
        <f>IF(Q73&lt;'Cenario A ranking setor PIB'!$G$86,"N","Y")</f>
        <v>Y</v>
      </c>
    </row>
    <row r="74" spans="1:20" x14ac:dyDescent="0.45">
      <c r="A74" s="293" t="s">
        <v>148</v>
      </c>
      <c r="B74" s="297" t="s">
        <v>5</v>
      </c>
      <c r="C74" s="297" t="s">
        <v>958</v>
      </c>
      <c r="D74" s="311">
        <v>266.15730931000002</v>
      </c>
      <c r="E74" s="311">
        <v>273.45674895000002</v>
      </c>
      <c r="F74" s="302">
        <f t="shared" si="6"/>
        <v>2.742528341199213E-2</v>
      </c>
      <c r="G74" s="311">
        <v>285.11055326000002</v>
      </c>
      <c r="H74" s="311">
        <v>273.45674895000002</v>
      </c>
      <c r="I74" s="302">
        <f t="shared" si="7"/>
        <v>-4.0874685895518459E-2</v>
      </c>
      <c r="J74" s="311">
        <v>293.49653262999999</v>
      </c>
      <c r="K74" s="311">
        <v>306.83831624999999</v>
      </c>
      <c r="L74" s="311">
        <v>318.48412221000001</v>
      </c>
      <c r="M74" s="312">
        <v>343.34368697999997</v>
      </c>
      <c r="N74" t="str">
        <f t="shared" si="8"/>
        <v>BahrainManufacture of electrical equipment (C27)</v>
      </c>
      <c r="O74" s="11">
        <f>INDEX('Base de dados IHS'!$A$1:$V$676,MATCH($N74,'Base de dados IHS'!$C$1:$C$676,0),MATCH($O$1,'Base de dados IHS'!$A$1:$V$1,0))</f>
        <v>33332.328188890002</v>
      </c>
      <c r="P74" s="11">
        <f>INDEX('Base de dados IHS'!$A$1:$V$676,MATCH($N74,'Base de dados IHS'!$C$1:$C$676,0),MATCH($P$1,'Base de dados IHS'!$A$1:$V$1,0))</f>
        <v>36767.801730239997</v>
      </c>
      <c r="Q74" s="131">
        <f>INDEX('Base de dados IHS'!$A$1:$V$676,MATCH($N74,'Base de dados IHS'!$C$1:$C$676,0),MATCH($Q$1,'Base de dados IHS'!$A$1:$V$1,0))</f>
        <v>8.5535745251371382E-3</v>
      </c>
      <c r="R74" s="131">
        <f>INDEX('Base de dados IHS'!$A$1:$V$676,MATCH($N74,'Base de dados IHS'!$C$1:$C$676,0),MATCH($R$1,'Base de dados IHS'!$A$1:$V$1,0))</f>
        <v>7.4373972900613518E-3</v>
      </c>
      <c r="S74" s="131">
        <f>INDEX('Base de dados IHS'!$A$1:$V$676,MATCH($N74,'Base de dados IHS'!$C$1:$C$676,0),MATCH($S$1,'Base de dados IHS'!$A$1:$V$1,0))</f>
        <v>-1.1161772350757864E-3</v>
      </c>
      <c r="T74" t="str">
        <f>IF(Q74&lt;'Cenario A ranking setor PIB'!$G$86,"N","Y")</f>
        <v>Y</v>
      </c>
    </row>
    <row r="75" spans="1:20" x14ac:dyDescent="0.45">
      <c r="A75" s="293" t="s">
        <v>99</v>
      </c>
      <c r="B75" s="297" t="s">
        <v>5</v>
      </c>
      <c r="C75" s="297" t="s">
        <v>958</v>
      </c>
      <c r="D75" s="311">
        <v>10309.34922627</v>
      </c>
      <c r="E75" s="311">
        <v>15898.22391047</v>
      </c>
      <c r="F75" s="302">
        <f t="shared" si="6"/>
        <v>0.54211711734030543</v>
      </c>
      <c r="G75" s="311">
        <v>15777.425262520001</v>
      </c>
      <c r="H75" s="311">
        <v>15898.22391047</v>
      </c>
      <c r="I75" s="302">
        <f t="shared" si="7"/>
        <v>7.656423398624046E-3</v>
      </c>
      <c r="J75" s="311">
        <v>21236.519021110002</v>
      </c>
      <c r="K75" s="311">
        <v>25952.606917059999</v>
      </c>
      <c r="L75" s="311">
        <v>29949.932168610001</v>
      </c>
      <c r="M75" s="312">
        <v>40737.83071242</v>
      </c>
      <c r="N75" t="str">
        <f t="shared" si="8"/>
        <v>IndonesiaManufacture of electrical equipment (C27)</v>
      </c>
      <c r="O75" s="11">
        <f>INDEX('Base de dados IHS'!$A$1:$V$676,MATCH($N75,'Base de dados IHS'!$C$1:$C$676,0),MATCH($O$1,'Base de dados IHS'!$A$1:$V$1,0))</f>
        <v>917924.88667253999</v>
      </c>
      <c r="P75" s="11">
        <f>INDEX('Base de dados IHS'!$A$1:$V$676,MATCH($N75,'Base de dados IHS'!$C$1:$C$676,0),MATCH($P$1,'Base de dados IHS'!$A$1:$V$1,0))</f>
        <v>1136354.4627425</v>
      </c>
      <c r="Q75" s="131">
        <f>INDEX('Base de dados IHS'!$A$1:$V$676,MATCH($N75,'Base de dados IHS'!$C$1:$C$676,0),MATCH($Q$1,'Base de dados IHS'!$A$1:$V$1,0))</f>
        <v>1.7188144140761738E-2</v>
      </c>
      <c r="R75" s="131">
        <f>INDEX('Base de dados IHS'!$A$1:$V$676,MATCH($N75,'Base de dados IHS'!$C$1:$C$676,0),MATCH($R$1,'Base de dados IHS'!$A$1:$V$1,0))</f>
        <v>1.3990549983938037E-2</v>
      </c>
      <c r="S75" s="131">
        <f>INDEX('Base de dados IHS'!$A$1:$V$676,MATCH($N75,'Base de dados IHS'!$C$1:$C$676,0),MATCH($S$1,'Base de dados IHS'!$A$1:$V$1,0))</f>
        <v>-3.1975941568237014E-3</v>
      </c>
      <c r="T75" t="str">
        <f>IF(Q75&lt;'Cenario A ranking setor PIB'!$G$86,"N","Y")</f>
        <v>Y</v>
      </c>
    </row>
    <row r="76" spans="1:20" hidden="1" x14ac:dyDescent="0.45">
      <c r="A76" s="293" t="s">
        <v>175</v>
      </c>
      <c r="B76" s="297" t="s">
        <v>5</v>
      </c>
      <c r="C76" s="297" t="s">
        <v>958</v>
      </c>
      <c r="D76" s="311">
        <v>58.213861690000002</v>
      </c>
      <c r="E76" s="311">
        <v>82.0510728</v>
      </c>
      <c r="F76" s="302">
        <f t="shared" si="6"/>
        <v>0.40947654764663666</v>
      </c>
      <c r="G76" s="311">
        <v>334.78162556000001</v>
      </c>
      <c r="H76" s="311">
        <v>82.0510728</v>
      </c>
      <c r="I76" s="302">
        <f t="shared" si="7"/>
        <v>-0.75491166021208445</v>
      </c>
      <c r="J76" s="311">
        <v>112.90459361000001</v>
      </c>
      <c r="K76" s="311">
        <v>161.97400658000001</v>
      </c>
      <c r="L76" s="311">
        <v>211.01354376</v>
      </c>
      <c r="M76" s="312">
        <v>374.43291438</v>
      </c>
      <c r="N76" t="str">
        <f t="shared" si="8"/>
        <v>KenyaManufacture of electrical equipment (C27)</v>
      </c>
      <c r="O76" s="11">
        <f>INDEX('Base de dados IHS'!$A$1:$V$676,MATCH($N76,'Base de dados IHS'!$C$1:$C$676,0),MATCH($O$1,'Base de dados IHS'!$A$1:$V$1,0))</f>
        <v>83525.195225389994</v>
      </c>
      <c r="P76" s="11">
        <f>INDEX('Base de dados IHS'!$A$1:$V$676,MATCH($N76,'Base de dados IHS'!$C$1:$C$676,0),MATCH($P$1,'Base de dados IHS'!$A$1:$V$1,0))</f>
        <v>107697.99713524</v>
      </c>
      <c r="Q76" s="131">
        <f>INDEX('Base de dados IHS'!$A$1:$V$676,MATCH($N76,'Base de dados IHS'!$C$1:$C$676,0),MATCH($Q$1,'Base de dados IHS'!$A$1:$V$1,0))</f>
        <v>4.0081513686571193E-3</v>
      </c>
      <c r="R76" s="131">
        <f>INDEX('Base de dados IHS'!$A$1:$V$676,MATCH($N76,'Base de dados IHS'!$C$1:$C$676,0),MATCH($R$1,'Base de dados IHS'!$A$1:$V$1,0))</f>
        <v>7.6186256924505016E-4</v>
      </c>
      <c r="S76" s="131">
        <f>INDEX('Base de dados IHS'!$A$1:$V$676,MATCH($N76,'Base de dados IHS'!$C$1:$C$676,0),MATCH($S$1,'Base de dados IHS'!$A$1:$V$1,0))</f>
        <v>-3.246288799412069E-3</v>
      </c>
      <c r="T76" t="str">
        <f>IF(Q76&lt;'Cenario A ranking setor PIB'!$G$86,"N","Y")</f>
        <v>N</v>
      </c>
    </row>
  </sheetData>
  <autoFilter ref="A1:T76" xr:uid="{0F755E13-DB6E-45B4-8CEC-8C7D087F7F6E}">
    <filterColumn colId="19">
      <filters>
        <filter val="Y"/>
      </filters>
    </filterColumn>
    <sortState xmlns:xlrd2="http://schemas.microsoft.com/office/spreadsheetml/2017/richdata2" ref="A2:T75">
      <sortCondition descending="1" ref="S1:S76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A2B8-A7F6-4123-9FA2-1522654E7845}">
  <sheetPr filterMode="1">
    <tabColor theme="4" tint="-0.249977111117893"/>
  </sheetPr>
  <dimension ref="A1:T76"/>
  <sheetViews>
    <sheetView workbookViewId="0"/>
  </sheetViews>
  <sheetFormatPr defaultColWidth="8.86328125" defaultRowHeight="14.25" x14ac:dyDescent="0.45"/>
  <sheetData>
    <row r="1" spans="1:20" x14ac:dyDescent="0.4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933</v>
      </c>
      <c r="O1" s="334" t="s">
        <v>928</v>
      </c>
      <c r="P1" s="334" t="s">
        <v>929</v>
      </c>
      <c r="Q1" s="334" t="s">
        <v>930</v>
      </c>
      <c r="R1" s="334" t="s">
        <v>931</v>
      </c>
      <c r="S1" s="334" t="s">
        <v>932</v>
      </c>
      <c r="T1" s="334" t="s">
        <v>1057</v>
      </c>
    </row>
    <row r="2" spans="1:20" x14ac:dyDescent="0.45">
      <c r="A2" s="293" t="s">
        <v>127</v>
      </c>
      <c r="B2" s="297" t="s">
        <v>2</v>
      </c>
      <c r="C2" s="297" t="s">
        <v>958</v>
      </c>
      <c r="D2" s="311">
        <v>24656.136220249999</v>
      </c>
      <c r="E2" s="311">
        <v>96436.395466749993</v>
      </c>
      <c r="F2" s="302">
        <f t="shared" ref="F2:F33" si="0">H2/D2-1</f>
        <v>2.9112533531327229</v>
      </c>
      <c r="G2" s="311">
        <v>53668.579307139997</v>
      </c>
      <c r="H2" s="311">
        <v>96436.395466749993</v>
      </c>
      <c r="I2" s="302">
        <f t="shared" ref="I2:I33" si="1">H2/G2-1</f>
        <v>0.79688742858002626</v>
      </c>
      <c r="J2" s="311">
        <v>105932.30864642</v>
      </c>
      <c r="K2" s="311">
        <v>118963.30898604001</v>
      </c>
      <c r="L2" s="311">
        <v>130444.47115423001</v>
      </c>
      <c r="M2" s="312">
        <v>160082.55613025001</v>
      </c>
      <c r="N2" t="str">
        <f t="shared" ref="N2:N33" si="2">A2&amp;B2</f>
        <v>IrelandManufacture of basic pharmaceutical products and pharmaceutical preparations (C21)</v>
      </c>
      <c r="O2" s="11">
        <f>INDEX('Base de dados IHS'!$A$1:$V$676,MATCH($N2,'Base de dados IHS'!$C$1:$C$676,0),MATCH($O$1,'Base de dados IHS'!$A$1:$V$1,0))</f>
        <v>308812.05776281998</v>
      </c>
      <c r="P2" s="11">
        <f>INDEX('Base de dados IHS'!$A$1:$V$676,MATCH($N2,'Base de dados IHS'!$C$1:$C$676,0),MATCH($P$1,'Base de dados IHS'!$A$1:$V$1,0))</f>
        <v>483748.84960921999</v>
      </c>
      <c r="Q2" s="131">
        <f>INDEX('Base de dados IHS'!$A$1:$V$676,MATCH($N2,'Base de dados IHS'!$C$1:$C$676,0),MATCH($Q$1,'Base de dados IHS'!$A$1:$V$1,0))</f>
        <v>0.17379042675969478</v>
      </c>
      <c r="R2" s="131">
        <f>INDEX('Base de dados IHS'!$A$1:$V$676,MATCH($N2,'Base de dados IHS'!$C$1:$C$676,0),MATCH($R$1,'Base de dados IHS'!$A$1:$V$1,0))</f>
        <v>0.19935219596832704</v>
      </c>
      <c r="S2" s="131">
        <f>INDEX('Base de dados IHS'!$A$1:$V$676,MATCH($N2,'Base de dados IHS'!$C$1:$C$676,0),MATCH($S$1,'Base de dados IHS'!$A$1:$V$1,0))</f>
        <v>2.5561769208632262E-2</v>
      </c>
      <c r="T2" t="str">
        <f>IF(Q2&lt;'Cenario A ranking setor PIB'!$G$100,"N","Y")</f>
        <v>Y</v>
      </c>
    </row>
    <row r="3" spans="1:20" x14ac:dyDescent="0.45">
      <c r="A3" s="293" t="s">
        <v>67</v>
      </c>
      <c r="B3" s="297" t="s">
        <v>2</v>
      </c>
      <c r="C3" s="297" t="s">
        <v>958</v>
      </c>
      <c r="D3" s="311">
        <v>14821.15875321</v>
      </c>
      <c r="E3" s="311">
        <v>41579.123975199996</v>
      </c>
      <c r="F3" s="302">
        <f t="shared" si="0"/>
        <v>1.8053895560760185</v>
      </c>
      <c r="G3" s="311">
        <v>22573.808900870001</v>
      </c>
      <c r="H3" s="311">
        <v>41579.123975199996</v>
      </c>
      <c r="I3" s="302">
        <f t="shared" si="1"/>
        <v>0.84191884310660248</v>
      </c>
      <c r="J3" s="311">
        <v>51740.733864460002</v>
      </c>
      <c r="K3" s="311">
        <v>56449.549785800002</v>
      </c>
      <c r="L3" s="311">
        <v>59808.380217420003</v>
      </c>
      <c r="M3" s="312">
        <v>67695.341973160001</v>
      </c>
      <c r="N3" t="str">
        <f t="shared" si="2"/>
        <v>SwitzerlandManufacture of basic pharmaceutical products and pharmaceutical preparations (C21)</v>
      </c>
      <c r="O3" s="11">
        <f>INDEX('Base de dados IHS'!$A$1:$V$676,MATCH($N3,'Base de dados IHS'!$C$1:$C$676,0),MATCH($O$1,'Base de dados IHS'!$A$1:$V$1,0))</f>
        <v>669989.49931316997</v>
      </c>
      <c r="P3" s="11">
        <f>INDEX('Base de dados IHS'!$A$1:$V$676,MATCH($N3,'Base de dados IHS'!$C$1:$C$676,0),MATCH($P$1,'Base de dados IHS'!$A$1:$V$1,0))</f>
        <v>743458.79269773001</v>
      </c>
      <c r="Q3" s="131">
        <f>INDEX('Base de dados IHS'!$A$1:$V$676,MATCH($N3,'Base de dados IHS'!$C$1:$C$676,0),MATCH($Q$1,'Base de dados IHS'!$A$1:$V$1,0))</f>
        <v>3.3692780146571275E-2</v>
      </c>
      <c r="R3" s="131">
        <f>INDEX('Base de dados IHS'!$A$1:$V$676,MATCH($N3,'Base de dados IHS'!$C$1:$C$676,0),MATCH($R$1,'Base de dados IHS'!$A$1:$V$1,0))</f>
        <v>5.5926601963136549E-2</v>
      </c>
      <c r="S3" s="131">
        <f>INDEX('Base de dados IHS'!$A$1:$V$676,MATCH($N3,'Base de dados IHS'!$C$1:$C$676,0),MATCH($S$1,'Base de dados IHS'!$A$1:$V$1,0))</f>
        <v>2.2233821816565275E-2</v>
      </c>
      <c r="T3" t="str">
        <f>IF(Q3&lt;'Cenario A ranking setor PIB'!$G$100,"N","Y")</f>
        <v>Y</v>
      </c>
    </row>
    <row r="4" spans="1:20" x14ac:dyDescent="0.45">
      <c r="A4" s="293" t="s">
        <v>118</v>
      </c>
      <c r="B4" s="297" t="s">
        <v>2</v>
      </c>
      <c r="C4" s="297" t="s">
        <v>958</v>
      </c>
      <c r="D4" s="311">
        <v>7279.5768622300002</v>
      </c>
      <c r="E4" s="311">
        <v>16945.699567780001</v>
      </c>
      <c r="F4" s="302">
        <f t="shared" si="0"/>
        <v>1.3278412864492943</v>
      </c>
      <c r="G4" s="311">
        <v>7330.0055890599997</v>
      </c>
      <c r="H4" s="311">
        <v>16945.699567780001</v>
      </c>
      <c r="I4" s="302">
        <f t="shared" si="1"/>
        <v>1.3118262819705597</v>
      </c>
      <c r="J4" s="311">
        <v>13445.980534030001</v>
      </c>
      <c r="K4" s="311">
        <v>16140.652236739999</v>
      </c>
      <c r="L4" s="311">
        <v>17750.576311870002</v>
      </c>
      <c r="M4" s="312">
        <v>23060.480592240001</v>
      </c>
      <c r="N4" t="str">
        <f t="shared" si="2"/>
        <v>BelgiumManufacture of basic pharmaceutical products and pharmaceutical preparations (C21)</v>
      </c>
      <c r="O4" s="11">
        <f>INDEX('Base de dados IHS'!$A$1:$V$676,MATCH($N4,'Base de dados IHS'!$C$1:$C$676,0),MATCH($O$1,'Base de dados IHS'!$A$1:$V$1,0))</f>
        <v>500331.50984029</v>
      </c>
      <c r="P4" s="11">
        <f>INDEX('Base de dados IHS'!$A$1:$V$676,MATCH($N4,'Base de dados IHS'!$C$1:$C$676,0),MATCH($P$1,'Base de dados IHS'!$A$1:$V$1,0))</f>
        <v>542439.84157398995</v>
      </c>
      <c r="Q4" s="131">
        <f>INDEX('Base de dados IHS'!$A$1:$V$676,MATCH($N4,'Base de dados IHS'!$C$1:$C$676,0),MATCH($Q$1,'Base de dados IHS'!$A$1:$V$1,0))</f>
        <v>1.4650297742390437E-2</v>
      </c>
      <c r="R4" s="131">
        <f>INDEX('Base de dados IHS'!$A$1:$V$676,MATCH($N4,'Base de dados IHS'!$C$1:$C$676,0),MATCH($R$1,'Base de dados IHS'!$A$1:$V$1,0))</f>
        <v>3.1239776780792698E-2</v>
      </c>
      <c r="S4" s="131">
        <f>INDEX('Base de dados IHS'!$A$1:$V$676,MATCH($N4,'Base de dados IHS'!$C$1:$C$676,0),MATCH($S$1,'Base de dados IHS'!$A$1:$V$1,0))</f>
        <v>1.6589479038402261E-2</v>
      </c>
      <c r="T4" t="str">
        <f>IF(Q4&lt;'Cenario A ranking setor PIB'!$G$100,"N","Y")</f>
        <v>Y</v>
      </c>
    </row>
    <row r="5" spans="1:20" x14ac:dyDescent="0.45">
      <c r="A5" s="293" t="s">
        <v>116</v>
      </c>
      <c r="B5" s="297" t="s">
        <v>2</v>
      </c>
      <c r="C5" s="297" t="s">
        <v>958</v>
      </c>
      <c r="D5" s="311">
        <v>6235.8114001000004</v>
      </c>
      <c r="E5" s="311">
        <v>13912.6833924</v>
      </c>
      <c r="F5" s="302">
        <f t="shared" si="0"/>
        <v>1.2310943195262274</v>
      </c>
      <c r="G5" s="311">
        <v>9151.8632171000008</v>
      </c>
      <c r="H5" s="311">
        <v>13912.6833924</v>
      </c>
      <c r="I5" s="302">
        <f t="shared" si="1"/>
        <v>0.52020228694027471</v>
      </c>
      <c r="J5" s="311">
        <v>30950.667125690001</v>
      </c>
      <c r="K5" s="311">
        <v>34945.416666559999</v>
      </c>
      <c r="L5" s="311">
        <v>37820.054155869999</v>
      </c>
      <c r="M5" s="312">
        <v>43941.306646830002</v>
      </c>
      <c r="N5" t="str">
        <f t="shared" si="2"/>
        <v>DenmarkManufacture of basic pharmaceutical products and pharmaceutical preparations (C21)</v>
      </c>
      <c r="O5" s="11">
        <f>INDEX('Base de dados IHS'!$A$1:$V$676,MATCH($N5,'Base de dados IHS'!$C$1:$C$676,0),MATCH($O$1,'Base de dados IHS'!$A$1:$V$1,0))</f>
        <v>315318.76572541997</v>
      </c>
      <c r="P5" s="11">
        <f>INDEX('Base de dados IHS'!$A$1:$V$676,MATCH($N5,'Base de dados IHS'!$C$1:$C$676,0),MATCH($P$1,'Base de dados IHS'!$A$1:$V$1,0))</f>
        <v>361238.79673869</v>
      </c>
      <c r="Q5" s="131">
        <f>INDEX('Base de dados IHS'!$A$1:$V$676,MATCH($N5,'Base de dados IHS'!$C$1:$C$676,0),MATCH($Q$1,'Base de dados IHS'!$A$1:$V$1,0))</f>
        <v>2.9024162884962755E-2</v>
      </c>
      <c r="R5" s="131">
        <f>INDEX('Base de dados IHS'!$A$1:$V$676,MATCH($N5,'Base de dados IHS'!$C$1:$C$676,0),MATCH($R$1,'Base de dados IHS'!$A$1:$V$1,0))</f>
        <v>3.8513812796425753E-2</v>
      </c>
      <c r="S5" s="131">
        <f>INDEX('Base de dados IHS'!$A$1:$V$676,MATCH($N5,'Base de dados IHS'!$C$1:$C$676,0),MATCH($S$1,'Base de dados IHS'!$A$1:$V$1,0))</f>
        <v>9.4896499114629981E-3</v>
      </c>
      <c r="T5" t="str">
        <f>IF(Q5&lt;'Cenario A ranking setor PIB'!$G$100,"N","Y")</f>
        <v>Y</v>
      </c>
    </row>
    <row r="6" spans="1:20" x14ac:dyDescent="0.45">
      <c r="A6" s="293" t="s">
        <v>121</v>
      </c>
      <c r="B6" s="297" t="s">
        <v>2</v>
      </c>
      <c r="C6" s="297" t="s">
        <v>958</v>
      </c>
      <c r="D6" s="311">
        <v>2530.50492489</v>
      </c>
      <c r="E6" s="311">
        <v>5769.8490217299995</v>
      </c>
      <c r="F6" s="302">
        <f t="shared" si="0"/>
        <v>1.2801176812492523</v>
      </c>
      <c r="G6" s="311">
        <v>3444.02662887</v>
      </c>
      <c r="H6" s="311">
        <v>5769.8490217299995</v>
      </c>
      <c r="I6" s="302">
        <f t="shared" si="1"/>
        <v>0.67532067649056238</v>
      </c>
      <c r="J6" s="311">
        <v>4840.4272943899996</v>
      </c>
      <c r="K6" s="311">
        <v>5455.4005054999998</v>
      </c>
      <c r="L6" s="311">
        <v>5953.8933650700001</v>
      </c>
      <c r="M6" s="312">
        <v>7010.9886862800004</v>
      </c>
      <c r="N6" t="str">
        <f t="shared" si="2"/>
        <v>SingaporeManufacture of basic pharmaceutical products and pharmaceutical preparations (C21)</v>
      </c>
      <c r="O6" s="11">
        <f>INDEX('Base de dados IHS'!$A$1:$V$676,MATCH($N6,'Base de dados IHS'!$C$1:$C$676,0),MATCH($O$1,'Base de dados IHS'!$A$1:$V$1,0))</f>
        <v>331298.98374970001</v>
      </c>
      <c r="P6" s="11">
        <f>INDEX('Base de dados IHS'!$A$1:$V$676,MATCH($N6,'Base de dados IHS'!$C$1:$C$676,0),MATCH($P$1,'Base de dados IHS'!$A$1:$V$1,0))</f>
        <v>394237.177708</v>
      </c>
      <c r="Q6" s="131">
        <f>INDEX('Base de dados IHS'!$A$1:$V$676,MATCH($N6,'Base de dados IHS'!$C$1:$C$676,0),MATCH($Q$1,'Base de dados IHS'!$A$1:$V$1,0))</f>
        <v>1.0395524278070226E-2</v>
      </c>
      <c r="R6" s="131">
        <f>INDEX('Base de dados IHS'!$A$1:$V$676,MATCH($N6,'Base de dados IHS'!$C$1:$C$676,0),MATCH($R$1,'Base de dados IHS'!$A$1:$V$1,0))</f>
        <v>1.4635476682525256E-2</v>
      </c>
      <c r="S6" s="131">
        <f>INDEX('Base de dados IHS'!$A$1:$V$676,MATCH($N6,'Base de dados IHS'!$C$1:$C$676,0),MATCH($S$1,'Base de dados IHS'!$A$1:$V$1,0))</f>
        <v>4.2399524044550302E-3</v>
      </c>
      <c r="T6" t="str">
        <f>IF(Q6&lt;'Cenario A ranking setor PIB'!$G$100,"N","Y")</f>
        <v>Y</v>
      </c>
    </row>
    <row r="7" spans="1:20" hidden="1" x14ac:dyDescent="0.45">
      <c r="A7" s="293" t="s">
        <v>156</v>
      </c>
      <c r="B7" s="297" t="s">
        <v>2</v>
      </c>
      <c r="C7" s="297" t="s">
        <v>958</v>
      </c>
      <c r="D7" s="311">
        <v>715.63880222</v>
      </c>
      <c r="E7" s="311">
        <v>1273.0184384700001</v>
      </c>
      <c r="F7" s="302">
        <f t="shared" si="0"/>
        <v>0.77885608566911069</v>
      </c>
      <c r="G7" s="311">
        <v>644.59595889000002</v>
      </c>
      <c r="H7" s="311">
        <v>1273.0184384700001</v>
      </c>
      <c r="I7" s="302">
        <f t="shared" si="1"/>
        <v>0.9749091208423788</v>
      </c>
      <c r="J7" s="311">
        <v>1645.41265886</v>
      </c>
      <c r="K7" s="311">
        <v>1691.9753046599999</v>
      </c>
      <c r="L7" s="311">
        <v>1715.7446492199999</v>
      </c>
      <c r="M7" s="312">
        <v>1767.03273029</v>
      </c>
      <c r="N7" t="str">
        <f t="shared" si="2"/>
        <v>GreeceManufacture of basic pharmaceutical products and pharmaceutical preparations (C21)</v>
      </c>
      <c r="O7" s="11">
        <f>INDEX('Base de dados IHS'!$A$1:$V$676,MATCH($N7,'Base de dados IHS'!$C$1:$C$676,0),MATCH($O$1,'Base de dados IHS'!$A$1:$V$1,0))</f>
        <v>196841.83448053</v>
      </c>
      <c r="P7" s="11">
        <f>INDEX('Base de dados IHS'!$A$1:$V$676,MATCH($N7,'Base de dados IHS'!$C$1:$C$676,0),MATCH($P$1,'Base de dados IHS'!$A$1:$V$1,0))</f>
        <v>201121.93838619001</v>
      </c>
      <c r="Q7" s="131">
        <f>INDEX('Base de dados IHS'!$A$1:$V$676,MATCH($N7,'Base de dados IHS'!$C$1:$C$676,0),MATCH($Q$1,'Base de dados IHS'!$A$1:$V$1,0))</f>
        <v>3.2746898574233631E-3</v>
      </c>
      <c r="R7" s="131">
        <f>INDEX('Base de dados IHS'!$A$1:$V$676,MATCH($N7,'Base de dados IHS'!$C$1:$C$676,0),MATCH($R$1,'Base de dados IHS'!$A$1:$V$1,0))</f>
        <v>6.3295851694984044E-3</v>
      </c>
      <c r="S7" s="131">
        <f>INDEX('Base de dados IHS'!$A$1:$V$676,MATCH($N7,'Base de dados IHS'!$C$1:$C$676,0),MATCH($S$1,'Base de dados IHS'!$A$1:$V$1,0))</f>
        <v>3.0548953120750413E-3</v>
      </c>
      <c r="T7" t="str">
        <f>IF(Q7&lt;'Cenario A ranking setor PIB'!$G$100,"N","Y")</f>
        <v>N</v>
      </c>
    </row>
    <row r="8" spans="1:20" x14ac:dyDescent="0.45">
      <c r="A8" s="293" t="s">
        <v>907</v>
      </c>
      <c r="B8" s="297" t="s">
        <v>2</v>
      </c>
      <c r="C8" s="297" t="s">
        <v>958</v>
      </c>
      <c r="D8" s="311">
        <v>59575.483943940002</v>
      </c>
      <c r="E8" s="311">
        <v>188526.87714595001</v>
      </c>
      <c r="F8" s="302">
        <f t="shared" si="0"/>
        <v>2.1645043340873591</v>
      </c>
      <c r="G8" s="311">
        <v>101110.03400001999</v>
      </c>
      <c r="H8" s="311">
        <v>188526.87714595001</v>
      </c>
      <c r="I8" s="302">
        <f t="shared" si="1"/>
        <v>0.86457139502012947</v>
      </c>
      <c r="J8" s="311">
        <v>190323.67175491</v>
      </c>
      <c r="K8" s="311">
        <v>233339.73613574001</v>
      </c>
      <c r="L8" s="311">
        <v>268925.24087605998</v>
      </c>
      <c r="M8" s="312">
        <v>360191.49613282998</v>
      </c>
      <c r="N8" t="str">
        <f t="shared" si="2"/>
        <v>ChinaManufacture of basic pharmaceutical products and pharmaceutical preparations (C21)</v>
      </c>
      <c r="O8" s="11">
        <f>INDEX('Base de dados IHS'!$A$1:$V$676,MATCH($N8,'Base de dados IHS'!$C$1:$C$676,0),MATCH($O$1,'Base de dados IHS'!$A$1:$V$1,0))</f>
        <v>11048064.947659001</v>
      </c>
      <c r="P8" s="11">
        <f>INDEX('Base de dados IHS'!$A$1:$V$676,MATCH($N8,'Base de dados IHS'!$C$1:$C$676,0),MATCH($P$1,'Base de dados IHS'!$A$1:$V$1,0))</f>
        <v>15827750.501527</v>
      </c>
      <c r="Q8" s="131">
        <f>INDEX('Base de dados IHS'!$A$1:$V$676,MATCH($N8,'Base de dados IHS'!$C$1:$C$676,0),MATCH($Q$1,'Base de dados IHS'!$A$1:$V$1,0))</f>
        <v>9.1518319704885897E-3</v>
      </c>
      <c r="R8" s="131">
        <f>INDEX('Base de dados IHS'!$A$1:$V$676,MATCH($N8,'Base de dados IHS'!$C$1:$C$676,0),MATCH($R$1,'Base de dados IHS'!$A$1:$V$1,0))</f>
        <v>1.1911160535905697E-2</v>
      </c>
      <c r="S8" s="131">
        <f>INDEX('Base de dados IHS'!$A$1:$V$676,MATCH($N8,'Base de dados IHS'!$C$1:$C$676,0),MATCH($S$1,'Base de dados IHS'!$A$1:$V$1,0))</f>
        <v>2.7593285654171074E-3</v>
      </c>
      <c r="T8" t="str">
        <f>IF(Q8&lt;'Cenario A ranking setor PIB'!$G$100,"N","Y")</f>
        <v>Y</v>
      </c>
    </row>
    <row r="9" spans="1:20" hidden="1" x14ac:dyDescent="0.45">
      <c r="A9" s="293" t="s">
        <v>124</v>
      </c>
      <c r="B9" s="297" t="s">
        <v>2</v>
      </c>
      <c r="C9" s="297" t="s">
        <v>958</v>
      </c>
      <c r="D9" s="311">
        <v>418.67203196999998</v>
      </c>
      <c r="E9" s="311">
        <v>1927.74077949</v>
      </c>
      <c r="F9" s="302">
        <f t="shared" si="0"/>
        <v>3.6044173775336699</v>
      </c>
      <c r="G9" s="311">
        <v>672.17707839000002</v>
      </c>
      <c r="H9" s="311">
        <v>1927.74077949</v>
      </c>
      <c r="I9" s="302">
        <f t="shared" si="1"/>
        <v>1.8679061536988568</v>
      </c>
      <c r="J9" s="311">
        <v>2094.3564848300002</v>
      </c>
      <c r="K9" s="311">
        <v>2794.7452441099999</v>
      </c>
      <c r="L9" s="311">
        <v>3402.7273353099999</v>
      </c>
      <c r="M9" s="312">
        <v>5117.2370395500002</v>
      </c>
      <c r="N9" t="str">
        <f t="shared" si="2"/>
        <v>BangladeshManufacture of basic pharmaceutical products and pharmaceutical preparations (C21)</v>
      </c>
      <c r="O9" s="11">
        <f>INDEX('Base de dados IHS'!$A$1:$V$676,MATCH($N9,'Base de dados IHS'!$C$1:$C$676,0),MATCH($O$1,'Base de dados IHS'!$A$1:$V$1,0))</f>
        <v>264392.25455249997</v>
      </c>
      <c r="P9" s="11">
        <f>INDEX('Base de dados IHS'!$A$1:$V$676,MATCH($N9,'Base de dados IHS'!$C$1:$C$676,0),MATCH($P$1,'Base de dados IHS'!$A$1:$V$1,0))</f>
        <v>386628.84638325998</v>
      </c>
      <c r="Q9" s="131">
        <f>INDEX('Base de dados IHS'!$A$1:$V$676,MATCH($N9,'Base de dados IHS'!$C$1:$C$676,0),MATCH($Q$1,'Base de dados IHS'!$A$1:$V$1,0))</f>
        <v>2.5423478442199478E-3</v>
      </c>
      <c r="R9" s="131">
        <f>INDEX('Base de dados IHS'!$A$1:$V$676,MATCH($N9,'Base de dados IHS'!$C$1:$C$676,0),MATCH($R$1,'Base de dados IHS'!$A$1:$V$1,0))</f>
        <v>4.9860241870805892E-3</v>
      </c>
      <c r="S9" s="131">
        <f>INDEX('Base de dados IHS'!$A$1:$V$676,MATCH($N9,'Base de dados IHS'!$C$1:$C$676,0),MATCH($S$1,'Base de dados IHS'!$A$1:$V$1,0))</f>
        <v>2.4436763428606414E-3</v>
      </c>
      <c r="T9" t="str">
        <f>IF(Q9&lt;'Cenario A ranking setor PIB'!$G$100,"N","Y")</f>
        <v>N</v>
      </c>
    </row>
    <row r="10" spans="1:20" x14ac:dyDescent="0.45">
      <c r="A10" s="293" t="s">
        <v>176</v>
      </c>
      <c r="B10" s="297" t="s">
        <v>2</v>
      </c>
      <c r="C10" s="297" t="s">
        <v>958</v>
      </c>
      <c r="D10" s="311">
        <v>402.31498218000002</v>
      </c>
      <c r="E10" s="311">
        <v>506.14136107000002</v>
      </c>
      <c r="F10" s="302">
        <f t="shared" si="0"/>
        <v>0.25807236491020613</v>
      </c>
      <c r="G10" s="311">
        <v>386.82539603999999</v>
      </c>
      <c r="H10" s="311">
        <v>506.14136107000002</v>
      </c>
      <c r="I10" s="302">
        <f t="shared" si="1"/>
        <v>0.30844915109364246</v>
      </c>
      <c r="J10" s="311">
        <v>619.21168651999994</v>
      </c>
      <c r="K10" s="311">
        <v>701.72569307000003</v>
      </c>
      <c r="L10" s="311">
        <v>766.5226887</v>
      </c>
      <c r="M10" s="312">
        <v>922.76175805000003</v>
      </c>
      <c r="N10" t="str">
        <f t="shared" si="2"/>
        <v>JordanManufacture of basic pharmaceutical products and pharmaceutical preparations (C21)</v>
      </c>
      <c r="O10" s="11">
        <f>INDEX('Base de dados IHS'!$A$1:$V$676,MATCH($N10,'Base de dados IHS'!$C$1:$C$676,0),MATCH($O$1,'Base de dados IHS'!$A$1:$V$1,0))</f>
        <v>41181.394892199998</v>
      </c>
      <c r="P10" s="11">
        <f>INDEX('Base de dados IHS'!$A$1:$V$676,MATCH($N10,'Base de dados IHS'!$C$1:$C$676,0),MATCH($P$1,'Base de dados IHS'!$A$1:$V$1,0))</f>
        <v>44841.419332370002</v>
      </c>
      <c r="Q10" s="131">
        <f>INDEX('Base de dados IHS'!$A$1:$V$676,MATCH($N10,'Base de dados IHS'!$C$1:$C$676,0),MATCH($Q$1,'Base de dados IHS'!$A$1:$V$1,0))</f>
        <v>9.3932077107292695E-3</v>
      </c>
      <c r="R10" s="131">
        <f>INDEX('Base de dados IHS'!$A$1:$V$676,MATCH($N10,'Base de dados IHS'!$C$1:$C$676,0),MATCH($R$1,'Base de dados IHS'!$A$1:$V$1,0))</f>
        <v>1.1287362634942915E-2</v>
      </c>
      <c r="S10" s="131">
        <f>INDEX('Base de dados IHS'!$A$1:$V$676,MATCH($N10,'Base de dados IHS'!$C$1:$C$676,0),MATCH($S$1,'Base de dados IHS'!$A$1:$V$1,0))</f>
        <v>1.8941549242136452E-3</v>
      </c>
      <c r="T10" t="str">
        <f>IF(Q10&lt;'Cenario A ranking setor PIB'!$G$100,"N","Y")</f>
        <v>Y</v>
      </c>
    </row>
    <row r="11" spans="1:20" x14ac:dyDescent="0.45">
      <c r="A11" s="293" t="s">
        <v>179</v>
      </c>
      <c r="B11" s="297" t="s">
        <v>2</v>
      </c>
      <c r="C11" s="297" t="s">
        <v>958</v>
      </c>
      <c r="D11" s="311">
        <v>508635.12197456998</v>
      </c>
      <c r="E11" s="311">
        <v>788072.98515381</v>
      </c>
      <c r="F11" s="302">
        <f t="shared" si="0"/>
        <v>0.54938766732119415</v>
      </c>
      <c r="G11" s="311">
        <v>567267.84838462004</v>
      </c>
      <c r="H11" s="311">
        <v>788072.98515381</v>
      </c>
      <c r="I11" s="302">
        <f t="shared" si="1"/>
        <v>0.38924317215926396</v>
      </c>
      <c r="J11" s="311">
        <v>909280.64597010997</v>
      </c>
      <c r="K11" s="311">
        <v>1025439.0043086</v>
      </c>
      <c r="L11" s="311">
        <v>1120783.8491654999</v>
      </c>
      <c r="M11" s="312">
        <v>1364939.9189511</v>
      </c>
      <c r="N11" t="str">
        <f t="shared" si="2"/>
        <v>WorldManufacture of basic pharmaceutical products and pharmaceutical preparations (C21)</v>
      </c>
      <c r="O11" s="11">
        <f>INDEX('Base de dados IHS'!$A$1:$V$676,MATCH($N11,'Base de dados IHS'!$C$1:$C$676,0),MATCH($O$1,'Base de dados IHS'!$A$1:$V$1,0))</f>
        <v>74892116.540485993</v>
      </c>
      <c r="P11" s="11">
        <f>INDEX('Base de dados IHS'!$A$1:$V$676,MATCH($N11,'Base de dados IHS'!$C$1:$C$676,0),MATCH($P$1,'Base de dados IHS'!$A$1:$V$1,0))</f>
        <v>87029234.955234006</v>
      </c>
      <c r="Q11" s="131">
        <f>INDEX('Base de dados IHS'!$A$1:$V$676,MATCH($N11,'Base de dados IHS'!$C$1:$C$676,0),MATCH($Q$1,'Base de dados IHS'!$A$1:$V$1,0))</f>
        <v>7.5744667741892467E-3</v>
      </c>
      <c r="R11" s="131">
        <f>INDEX('Base de dados IHS'!$A$1:$V$676,MATCH($N11,'Base de dados IHS'!$C$1:$C$676,0),MATCH($R$1,'Base de dados IHS'!$A$1:$V$1,0))</f>
        <v>9.0552672967788121E-3</v>
      </c>
      <c r="S11" s="131">
        <f>INDEX('Base de dados IHS'!$A$1:$V$676,MATCH($N11,'Base de dados IHS'!$C$1:$C$676,0),MATCH($S$1,'Base de dados IHS'!$A$1:$V$1,0))</f>
        <v>1.4808005225895654E-3</v>
      </c>
      <c r="T11" t="str">
        <f>IF(Q11&lt;'Cenario A ranking setor PIB'!$G$100,"N","Y")</f>
        <v>Y</v>
      </c>
    </row>
    <row r="12" spans="1:20" hidden="1" x14ac:dyDescent="0.45">
      <c r="A12" s="293" t="s">
        <v>70</v>
      </c>
      <c r="B12" s="297" t="s">
        <v>2</v>
      </c>
      <c r="C12" s="297" t="s">
        <v>958</v>
      </c>
      <c r="D12" s="311">
        <v>8320.0562610800007</v>
      </c>
      <c r="E12" s="311">
        <v>18039.268460399999</v>
      </c>
      <c r="F12" s="302">
        <f t="shared" si="0"/>
        <v>1.1681666438705522</v>
      </c>
      <c r="G12" s="311">
        <v>10482.81183871</v>
      </c>
      <c r="H12" s="311">
        <v>18039.268460399999</v>
      </c>
      <c r="I12" s="302">
        <f t="shared" si="1"/>
        <v>0.72084253136989296</v>
      </c>
      <c r="J12" s="311">
        <v>24028.693883420001</v>
      </c>
      <c r="K12" s="311">
        <v>30431.17759254</v>
      </c>
      <c r="L12" s="311">
        <v>35451.32252614</v>
      </c>
      <c r="M12" s="312">
        <v>48486.722798449999</v>
      </c>
      <c r="N12" t="str">
        <f t="shared" si="2"/>
        <v>IndiaManufacture of basic pharmaceutical products and pharmaceutical preparations (C21)</v>
      </c>
      <c r="O12" s="11">
        <f>INDEX('Base de dados IHS'!$A$1:$V$676,MATCH($N12,'Base de dados IHS'!$C$1:$C$676,0),MATCH($O$1,'Base de dados IHS'!$A$1:$V$1,0))</f>
        <v>2233583.9807687998</v>
      </c>
      <c r="P12" s="11">
        <f>INDEX('Base de dados IHS'!$A$1:$V$676,MATCH($N12,'Base de dados IHS'!$C$1:$C$676,0),MATCH($P$1,'Base de dados IHS'!$A$1:$V$1,0))</f>
        <v>2928405.219999</v>
      </c>
      <c r="Q12" s="131">
        <f>INDEX('Base de dados IHS'!$A$1:$V$676,MATCH($N12,'Base de dados IHS'!$C$1:$C$676,0),MATCH($Q$1,'Base de dados IHS'!$A$1:$V$1,0))</f>
        <v>4.6932696191265728E-3</v>
      </c>
      <c r="R12" s="131">
        <f>INDEX('Base de dados IHS'!$A$1:$V$676,MATCH($N12,'Base de dados IHS'!$C$1:$C$676,0),MATCH($R$1,'Base de dados IHS'!$A$1:$V$1,0))</f>
        <v>6.1600998171988507E-3</v>
      </c>
      <c r="S12" s="131">
        <f>INDEX('Base de dados IHS'!$A$1:$V$676,MATCH($N12,'Base de dados IHS'!$C$1:$C$676,0),MATCH($S$1,'Base de dados IHS'!$A$1:$V$1,0))</f>
        <v>1.4668301980722779E-3</v>
      </c>
      <c r="T12" t="str">
        <f>IF(Q12&lt;'Cenario A ranking setor PIB'!$G$100,"N","Y")</f>
        <v>N</v>
      </c>
    </row>
    <row r="13" spans="1:20" x14ac:dyDescent="0.45">
      <c r="A13" s="293" t="s">
        <v>98</v>
      </c>
      <c r="B13" s="297" t="s">
        <v>2</v>
      </c>
      <c r="C13" s="297" t="s">
        <v>958</v>
      </c>
      <c r="D13" s="311">
        <v>23385.95732446</v>
      </c>
      <c r="E13" s="311">
        <v>31315.48094668</v>
      </c>
      <c r="F13" s="302">
        <f t="shared" si="0"/>
        <v>0.33907201284106936</v>
      </c>
      <c r="G13" s="311">
        <v>24582.63873386</v>
      </c>
      <c r="H13" s="311">
        <v>31315.48094668</v>
      </c>
      <c r="I13" s="302">
        <f t="shared" si="1"/>
        <v>0.27388606592286679</v>
      </c>
      <c r="J13" s="311">
        <v>32511.074547429998</v>
      </c>
      <c r="K13" s="311">
        <v>35016.805354789998</v>
      </c>
      <c r="L13" s="311">
        <v>36809.016451000003</v>
      </c>
      <c r="M13" s="312">
        <v>40523.367076169998</v>
      </c>
      <c r="N13" t="str">
        <f t="shared" si="2"/>
        <v>GermanyManufacture of basic pharmaceutical products and pharmaceutical preparations (C21)</v>
      </c>
      <c r="O13" s="11">
        <f>INDEX('Base de dados IHS'!$A$1:$V$676,MATCH($N13,'Base de dados IHS'!$C$1:$C$676,0),MATCH($O$1,'Base de dados IHS'!$A$1:$V$1,0))</f>
        <v>3626843.1759532001</v>
      </c>
      <c r="P13" s="11">
        <f>INDEX('Base de dados IHS'!$A$1:$V$676,MATCH($N13,'Base de dados IHS'!$C$1:$C$676,0),MATCH($P$1,'Base de dados IHS'!$A$1:$V$1,0))</f>
        <v>3849084.4984781002</v>
      </c>
      <c r="Q13" s="131">
        <f>INDEX('Base de dados IHS'!$A$1:$V$676,MATCH($N13,'Base de dados IHS'!$C$1:$C$676,0),MATCH($Q$1,'Base de dados IHS'!$A$1:$V$1,0))</f>
        <v>6.7779712386927884E-3</v>
      </c>
      <c r="R13" s="131">
        <f>INDEX('Base de dados IHS'!$A$1:$V$676,MATCH($N13,'Base de dados IHS'!$C$1:$C$676,0),MATCH($R$1,'Base de dados IHS'!$A$1:$V$1,0))</f>
        <v>8.1358257941757089E-3</v>
      </c>
      <c r="S13" s="131">
        <f>INDEX('Base de dados IHS'!$A$1:$V$676,MATCH($N13,'Base de dados IHS'!$C$1:$C$676,0),MATCH($S$1,'Base de dados IHS'!$A$1:$V$1,0))</f>
        <v>1.3578545554829204E-3</v>
      </c>
      <c r="T13" t="str">
        <f>IF(Q13&lt;'Cenario A ranking setor PIB'!$G$100,"N","Y")</f>
        <v>Y</v>
      </c>
    </row>
    <row r="14" spans="1:20" hidden="1" x14ac:dyDescent="0.45">
      <c r="A14" s="293" t="s">
        <v>172</v>
      </c>
      <c r="B14" s="297" t="s">
        <v>2</v>
      </c>
      <c r="C14" s="297" t="s">
        <v>958</v>
      </c>
      <c r="D14" s="311">
        <v>231.71517772999999</v>
      </c>
      <c r="E14" s="311">
        <v>373.18930920999998</v>
      </c>
      <c r="F14" s="302">
        <f t="shared" si="0"/>
        <v>0.61055185450496907</v>
      </c>
      <c r="G14" s="311">
        <v>281.63917789999999</v>
      </c>
      <c r="H14" s="311">
        <v>373.18930920999998</v>
      </c>
      <c r="I14" s="302">
        <f t="shared" si="1"/>
        <v>0.32506177582476181</v>
      </c>
      <c r="J14" s="311">
        <v>419.07010330999998</v>
      </c>
      <c r="K14" s="311">
        <v>476.45022569999998</v>
      </c>
      <c r="L14" s="311">
        <v>519.25527744999999</v>
      </c>
      <c r="M14" s="312">
        <v>616.59552728999995</v>
      </c>
      <c r="N14" t="str">
        <f t="shared" si="2"/>
        <v>UruguayManufacture of basic pharmaceutical products and pharmaceutical preparations (C21)</v>
      </c>
      <c r="O14" s="11">
        <f>INDEX('Base de dados IHS'!$A$1:$V$676,MATCH($N14,'Base de dados IHS'!$C$1:$C$676,0),MATCH($O$1,'Base de dados IHS'!$A$1:$V$1,0))</f>
        <v>59449.563607900003</v>
      </c>
      <c r="P14" s="11">
        <f>INDEX('Base de dados IHS'!$A$1:$V$676,MATCH($N14,'Base de dados IHS'!$C$1:$C$676,0),MATCH($P$1,'Base de dados IHS'!$A$1:$V$1,0))</f>
        <v>61243.536031950003</v>
      </c>
      <c r="Q14" s="131">
        <f>INDEX('Base de dados IHS'!$A$1:$V$676,MATCH($N14,'Base de dados IHS'!$C$1:$C$676,0),MATCH($Q$1,'Base de dados IHS'!$A$1:$V$1,0))</f>
        <v>4.737447355502104E-3</v>
      </c>
      <c r="R14" s="131">
        <f>INDEX('Base de dados IHS'!$A$1:$V$676,MATCH($N14,'Base de dados IHS'!$C$1:$C$676,0),MATCH($R$1,'Base de dados IHS'!$A$1:$V$1,0))</f>
        <v>6.0935297565985038E-3</v>
      </c>
      <c r="S14" s="131">
        <f>INDEX('Base de dados IHS'!$A$1:$V$676,MATCH($N14,'Base de dados IHS'!$C$1:$C$676,0),MATCH($S$1,'Base de dados IHS'!$A$1:$V$1,0))</f>
        <v>1.3560824010963998E-3</v>
      </c>
      <c r="T14" t="str">
        <f>IF(Q14&lt;'Cenario A ranking setor PIB'!$G$100,"N","Y")</f>
        <v>N</v>
      </c>
    </row>
    <row r="15" spans="1:20" hidden="1" x14ac:dyDescent="0.45">
      <c r="A15" s="293" t="s">
        <v>106</v>
      </c>
      <c r="B15" s="297" t="s">
        <v>2</v>
      </c>
      <c r="C15" s="297" t="s">
        <v>958</v>
      </c>
      <c r="D15" s="311">
        <v>2682.2216788199999</v>
      </c>
      <c r="E15" s="311">
        <v>5398.5283522299997</v>
      </c>
      <c r="F15" s="302">
        <f t="shared" si="0"/>
        <v>1.0127077470364028</v>
      </c>
      <c r="G15" s="311">
        <v>3091.3685665399998</v>
      </c>
      <c r="H15" s="311">
        <v>5398.5283522299997</v>
      </c>
      <c r="I15" s="302">
        <f t="shared" si="1"/>
        <v>0.74632310448581607</v>
      </c>
      <c r="J15" s="311">
        <v>5321.7841836099997</v>
      </c>
      <c r="K15" s="311">
        <v>5720.54398941</v>
      </c>
      <c r="L15" s="311">
        <v>6021.5792145599999</v>
      </c>
      <c r="M15" s="312">
        <v>6652.6042069799996</v>
      </c>
      <c r="N15" t="str">
        <f t="shared" si="2"/>
        <v>RussiaManufacture of basic pharmaceutical products and pharmaceutical preparations (C21)</v>
      </c>
      <c r="O15" s="11">
        <f>INDEX('Base de dados IHS'!$A$1:$V$676,MATCH($N15,'Base de dados IHS'!$C$1:$C$676,0),MATCH($O$1,'Base de dados IHS'!$A$1:$V$1,0))</f>
        <v>1579786.0768998</v>
      </c>
      <c r="P15" s="11">
        <f>INDEX('Base de dados IHS'!$A$1:$V$676,MATCH($N15,'Base de dados IHS'!$C$1:$C$676,0),MATCH($P$1,'Base de dados IHS'!$A$1:$V$1,0))</f>
        <v>1741025.8573970001</v>
      </c>
      <c r="Q15" s="131">
        <f>INDEX('Base de dados IHS'!$A$1:$V$676,MATCH($N15,'Base de dados IHS'!$C$1:$C$676,0),MATCH($Q$1,'Base de dados IHS'!$A$1:$V$1,0))</f>
        <v>1.9568273272838029E-3</v>
      </c>
      <c r="R15" s="131">
        <f>INDEX('Base de dados IHS'!$A$1:$V$676,MATCH($N15,'Base de dados IHS'!$C$1:$C$676,0),MATCH($R$1,'Base de dados IHS'!$A$1:$V$1,0))</f>
        <v>3.1007743677634492E-3</v>
      </c>
      <c r="S15" s="131">
        <f>INDEX('Base de dados IHS'!$A$1:$V$676,MATCH($N15,'Base de dados IHS'!$C$1:$C$676,0),MATCH($S$1,'Base de dados IHS'!$A$1:$V$1,0))</f>
        <v>1.1439470404796463E-3</v>
      </c>
      <c r="T15" t="str">
        <f>IF(Q15&lt;'Cenario A ranking setor PIB'!$G$100,"N","Y")</f>
        <v>N</v>
      </c>
    </row>
    <row r="16" spans="1:20" x14ac:dyDescent="0.45">
      <c r="A16" s="293" t="s">
        <v>126</v>
      </c>
      <c r="B16" s="297" t="s">
        <v>2</v>
      </c>
      <c r="C16" s="297" t="s">
        <v>958</v>
      </c>
      <c r="D16" s="311">
        <v>1135.54283547</v>
      </c>
      <c r="E16" s="311">
        <v>1989.6219983999999</v>
      </c>
      <c r="F16" s="302">
        <f t="shared" si="0"/>
        <v>0.75213293259562275</v>
      </c>
      <c r="G16" s="311">
        <v>1553.8385642799999</v>
      </c>
      <c r="H16" s="311">
        <v>1989.6219983999999</v>
      </c>
      <c r="I16" s="302">
        <f t="shared" si="1"/>
        <v>0.28045605517708871</v>
      </c>
      <c r="J16" s="311">
        <v>1990.83880845</v>
      </c>
      <c r="K16" s="311">
        <v>2165.9940340200001</v>
      </c>
      <c r="L16" s="311">
        <v>2291.1025281500001</v>
      </c>
      <c r="M16" s="312">
        <v>2595.5401366800002</v>
      </c>
      <c r="N16" t="str">
        <f t="shared" si="2"/>
        <v>FinlandManufacture of basic pharmaceutical products and pharmaceutical preparations (C21)</v>
      </c>
      <c r="O16" s="11">
        <f>INDEX('Base de dados IHS'!$A$1:$V$676,MATCH($N16,'Base de dados IHS'!$C$1:$C$676,0),MATCH($O$1,'Base de dados IHS'!$A$1:$V$1,0))</f>
        <v>247207.29862345001</v>
      </c>
      <c r="P16" s="11">
        <f>INDEX('Base de dados IHS'!$A$1:$V$676,MATCH($N16,'Base de dados IHS'!$C$1:$C$676,0),MATCH($P$1,'Base de dados IHS'!$A$1:$V$1,0))</f>
        <v>270499.52733732999</v>
      </c>
      <c r="Q16" s="131">
        <f>INDEX('Base de dados IHS'!$A$1:$V$676,MATCH($N16,'Base de dados IHS'!$C$1:$C$676,0),MATCH($Q$1,'Base de dados IHS'!$A$1:$V$1,0))</f>
        <v>6.2855691273372592E-3</v>
      </c>
      <c r="R16" s="131">
        <f>INDEX('Base de dados IHS'!$A$1:$V$676,MATCH($N16,'Base de dados IHS'!$C$1:$C$676,0),MATCH($R$1,'Base de dados IHS'!$A$1:$V$1,0))</f>
        <v>7.3553621996493021E-3</v>
      </c>
      <c r="S16" s="131">
        <f>INDEX('Base de dados IHS'!$A$1:$V$676,MATCH($N16,'Base de dados IHS'!$C$1:$C$676,0),MATCH($S$1,'Base de dados IHS'!$A$1:$V$1,0))</f>
        <v>1.0697930723120429E-3</v>
      </c>
      <c r="T16" t="str">
        <f>IF(Q16&lt;'Cenario A ranking setor PIB'!$G$100,"N","Y")</f>
        <v>Y</v>
      </c>
    </row>
    <row r="17" spans="1:20" hidden="1" x14ac:dyDescent="0.45">
      <c r="A17" s="293" t="s">
        <v>97</v>
      </c>
      <c r="B17" s="297" t="s">
        <v>2</v>
      </c>
      <c r="C17" s="297" t="s">
        <v>958</v>
      </c>
      <c r="D17" s="311">
        <v>10558.83834362</v>
      </c>
      <c r="E17" s="311">
        <v>15281.238281489999</v>
      </c>
      <c r="F17" s="302">
        <f t="shared" si="0"/>
        <v>0.4472461632792617</v>
      </c>
      <c r="G17" s="311">
        <v>11795.908806019999</v>
      </c>
      <c r="H17" s="311">
        <v>15281.238281489999</v>
      </c>
      <c r="I17" s="302">
        <f t="shared" si="1"/>
        <v>0.29546934727837804</v>
      </c>
      <c r="J17" s="311">
        <v>15820.825101</v>
      </c>
      <c r="K17" s="311">
        <v>16880.967998190001</v>
      </c>
      <c r="L17" s="311">
        <v>17782.10933055</v>
      </c>
      <c r="M17" s="312">
        <v>20019.884593089999</v>
      </c>
      <c r="N17" t="str">
        <f t="shared" si="2"/>
        <v>FranceManufacture of basic pharmaceutical products and pharmaceutical preparations (C21)</v>
      </c>
      <c r="O17" s="11">
        <f>INDEX('Base de dados IHS'!$A$1:$V$676,MATCH($N17,'Base de dados IHS'!$C$1:$C$676,0),MATCH($O$1,'Base de dados IHS'!$A$1:$V$1,0))</f>
        <v>2544956.5086996001</v>
      </c>
      <c r="P17" s="11">
        <f>INDEX('Base de dados IHS'!$A$1:$V$676,MATCH($N17,'Base de dados IHS'!$C$1:$C$676,0),MATCH($P$1,'Base de dados IHS'!$A$1:$V$1,0))</f>
        <v>2682424.2983101001</v>
      </c>
      <c r="Q17" s="131">
        <f>INDEX('Base de dados IHS'!$A$1:$V$676,MATCH($N17,'Base de dados IHS'!$C$1:$C$676,0),MATCH($Q$1,'Base de dados IHS'!$A$1:$V$1,0))</f>
        <v>4.6350139052267619E-3</v>
      </c>
      <c r="R17" s="131">
        <f>INDEX('Base de dados IHS'!$A$1:$V$676,MATCH($N17,'Base de dados IHS'!$C$1:$C$676,0),MATCH($R$1,'Base de dados IHS'!$A$1:$V$1,0))</f>
        <v>5.6968013192830918E-3</v>
      </c>
      <c r="S17" s="131">
        <f>INDEX('Base de dados IHS'!$A$1:$V$676,MATCH($N17,'Base de dados IHS'!$C$1:$C$676,0),MATCH($S$1,'Base de dados IHS'!$A$1:$V$1,0))</f>
        <v>1.0617874140563298E-3</v>
      </c>
      <c r="T17" t="str">
        <f>IF(Q17&lt;'Cenario A ranking setor PIB'!$G$100,"N","Y")</f>
        <v>N</v>
      </c>
    </row>
    <row r="18" spans="1:20" hidden="1" x14ac:dyDescent="0.45">
      <c r="A18" s="293" t="s">
        <v>104</v>
      </c>
      <c r="B18" s="297" t="s">
        <v>2</v>
      </c>
      <c r="C18" s="297" t="s">
        <v>958</v>
      </c>
      <c r="D18" s="311">
        <v>4634.4569526699997</v>
      </c>
      <c r="E18" s="311">
        <v>8824.4976391399996</v>
      </c>
      <c r="F18" s="302">
        <f t="shared" si="0"/>
        <v>0.90410607526649622</v>
      </c>
      <c r="G18" s="311">
        <v>6087.0801522000002</v>
      </c>
      <c r="H18" s="311">
        <v>8824.4976391399996</v>
      </c>
      <c r="I18" s="302">
        <f t="shared" si="1"/>
        <v>0.44970945321799949</v>
      </c>
      <c r="J18" s="311">
        <v>11825.30256887</v>
      </c>
      <c r="K18" s="311">
        <v>13057.01390797</v>
      </c>
      <c r="L18" s="311">
        <v>13953.187890609999</v>
      </c>
      <c r="M18" s="312">
        <v>16124.18615496</v>
      </c>
      <c r="N18" t="str">
        <f t="shared" si="2"/>
        <v>South KoreaManufacture of basic pharmaceutical products and pharmaceutical preparations (C21)</v>
      </c>
      <c r="O18" s="11">
        <f>INDEX('Base de dados IHS'!$A$1:$V$676,MATCH($N18,'Base de dados IHS'!$C$1:$C$676,0),MATCH($O$1,'Base de dados IHS'!$A$1:$V$1,0))</f>
        <v>1478297.0807395</v>
      </c>
      <c r="P18" s="11">
        <f>INDEX('Base de dados IHS'!$A$1:$V$676,MATCH($N18,'Base de dados IHS'!$C$1:$C$676,0),MATCH($P$1,'Base de dados IHS'!$A$1:$V$1,0))</f>
        <v>1710728.7967964001</v>
      </c>
      <c r="Q18" s="131">
        <f>INDEX('Base de dados IHS'!$A$1:$V$676,MATCH($N18,'Base de dados IHS'!$C$1:$C$676,0),MATCH($Q$1,'Base de dados IHS'!$A$1:$V$1,0))</f>
        <v>4.1176298265806037E-3</v>
      </c>
      <c r="R18" s="131">
        <f>INDEX('Base de dados IHS'!$A$1:$V$676,MATCH($N18,'Base de dados IHS'!$C$1:$C$676,0),MATCH($R$1,'Base de dados IHS'!$A$1:$V$1,0))</f>
        <v>5.1583264721241692E-3</v>
      </c>
      <c r="S18" s="131">
        <f>INDEX('Base de dados IHS'!$A$1:$V$676,MATCH($N18,'Base de dados IHS'!$C$1:$C$676,0),MATCH($S$1,'Base de dados IHS'!$A$1:$V$1,0))</f>
        <v>1.0406966455435655E-3</v>
      </c>
      <c r="T18" t="str">
        <f>IF(Q18&lt;'Cenario A ranking setor PIB'!$G$100,"N","Y")</f>
        <v>N</v>
      </c>
    </row>
    <row r="19" spans="1:20" hidden="1" x14ac:dyDescent="0.45">
      <c r="A19" s="293" t="s">
        <v>112</v>
      </c>
      <c r="B19" s="297" t="s">
        <v>2</v>
      </c>
      <c r="C19" s="297" t="s">
        <v>958</v>
      </c>
      <c r="D19" s="311">
        <v>1788.29141637</v>
      </c>
      <c r="E19" s="311">
        <v>2552.7477281699998</v>
      </c>
      <c r="F19" s="302">
        <f t="shared" si="0"/>
        <v>0.42747860041275998</v>
      </c>
      <c r="G19" s="311">
        <v>1568.8027664399999</v>
      </c>
      <c r="H19" s="311">
        <v>2552.7477281699998</v>
      </c>
      <c r="I19" s="302">
        <f t="shared" si="1"/>
        <v>0.62719481554893841</v>
      </c>
      <c r="J19" s="311">
        <v>3551.80139242</v>
      </c>
      <c r="K19" s="311">
        <v>4016.72206263</v>
      </c>
      <c r="L19" s="311">
        <v>4298.87703229</v>
      </c>
      <c r="M19" s="312">
        <v>4724.5483389800002</v>
      </c>
      <c r="N19" t="str">
        <f t="shared" si="2"/>
        <v>PolandManufacture of basic pharmaceutical products and pharmaceutical preparations (C21)</v>
      </c>
      <c r="O19" s="11">
        <f>INDEX('Base de dados IHS'!$A$1:$V$676,MATCH($N19,'Base de dados IHS'!$C$1:$C$676,0),MATCH($O$1,'Base de dados IHS'!$A$1:$V$1,0))</f>
        <v>496555.53410177003</v>
      </c>
      <c r="P19" s="11">
        <f>INDEX('Base de dados IHS'!$A$1:$V$676,MATCH($N19,'Base de dados IHS'!$C$1:$C$676,0),MATCH($P$1,'Base de dados IHS'!$A$1:$V$1,0))</f>
        <v>623108.57565016998</v>
      </c>
      <c r="Q19" s="131">
        <f>INDEX('Base de dados IHS'!$A$1:$V$676,MATCH($N19,'Base de dados IHS'!$C$1:$C$676,0),MATCH($Q$1,'Base de dados IHS'!$A$1:$V$1,0))</f>
        <v>3.159370218837337E-3</v>
      </c>
      <c r="R19" s="131">
        <f>INDEX('Base de dados IHS'!$A$1:$V$676,MATCH($N19,'Base de dados IHS'!$C$1:$C$676,0),MATCH($R$1,'Base de dados IHS'!$A$1:$V$1,0))</f>
        <v>4.0967944077906276E-3</v>
      </c>
      <c r="S19" s="131">
        <f>INDEX('Base de dados IHS'!$A$1:$V$676,MATCH($N19,'Base de dados IHS'!$C$1:$C$676,0),MATCH($S$1,'Base de dados IHS'!$A$1:$V$1,0))</f>
        <v>9.3742418895329058E-4</v>
      </c>
      <c r="T19" t="str">
        <f>IF(Q19&lt;'Cenario A ranking setor PIB'!$G$100,"N","Y")</f>
        <v>N</v>
      </c>
    </row>
    <row r="20" spans="1:20" hidden="1" x14ac:dyDescent="0.45">
      <c r="A20" s="293" t="s">
        <v>99</v>
      </c>
      <c r="B20" s="297" t="s">
        <v>2</v>
      </c>
      <c r="C20" s="297" t="s">
        <v>958</v>
      </c>
      <c r="D20" s="311">
        <v>2175.1028426299999</v>
      </c>
      <c r="E20" s="311">
        <v>5312.7440742899998</v>
      </c>
      <c r="F20" s="302">
        <f t="shared" si="0"/>
        <v>1.442525461401245</v>
      </c>
      <c r="G20" s="311">
        <v>3435.23108847</v>
      </c>
      <c r="H20" s="311">
        <v>5312.7440742899998</v>
      </c>
      <c r="I20" s="302">
        <f t="shared" si="1"/>
        <v>0.54654634214323439</v>
      </c>
      <c r="J20" s="311">
        <v>5769.6288693300003</v>
      </c>
      <c r="K20" s="311">
        <v>7212.08271668</v>
      </c>
      <c r="L20" s="311">
        <v>8476.7839437500006</v>
      </c>
      <c r="M20" s="312">
        <v>11949.10877465</v>
      </c>
      <c r="N20" t="str">
        <f t="shared" si="2"/>
        <v>IndonesiaManufacture of basic pharmaceutical products and pharmaceutical preparations (C21)</v>
      </c>
      <c r="O20" s="11">
        <f>INDEX('Base de dados IHS'!$A$1:$V$676,MATCH($N20,'Base de dados IHS'!$C$1:$C$676,0),MATCH($O$1,'Base de dados IHS'!$A$1:$V$1,0))</f>
        <v>917924.88667253999</v>
      </c>
      <c r="P20" s="11">
        <f>INDEX('Base de dados IHS'!$A$1:$V$676,MATCH($N20,'Base de dados IHS'!$C$1:$C$676,0),MATCH($P$1,'Base de dados IHS'!$A$1:$V$1,0))</f>
        <v>1136354.4627425</v>
      </c>
      <c r="Q20" s="131">
        <f>INDEX('Base de dados IHS'!$A$1:$V$676,MATCH($N20,'Base de dados IHS'!$C$1:$C$676,0),MATCH($Q$1,'Base de dados IHS'!$A$1:$V$1,0))</f>
        <v>3.7423880083725003E-3</v>
      </c>
      <c r="R20" s="131">
        <f>INDEX('Base de dados IHS'!$A$1:$V$676,MATCH($N20,'Base de dados IHS'!$C$1:$C$676,0),MATCH($R$1,'Base de dados IHS'!$A$1:$V$1,0))</f>
        <v>4.6752525276911568E-3</v>
      </c>
      <c r="S20" s="131">
        <f>INDEX('Base de dados IHS'!$A$1:$V$676,MATCH($N20,'Base de dados IHS'!$C$1:$C$676,0),MATCH($S$1,'Base de dados IHS'!$A$1:$V$1,0))</f>
        <v>9.3286451931865648E-4</v>
      </c>
      <c r="T20" t="str">
        <f>IF(Q20&lt;'Cenario A ranking setor PIB'!$G$100,"N","Y")</f>
        <v>N</v>
      </c>
    </row>
    <row r="21" spans="1:20" hidden="1" x14ac:dyDescent="0.45">
      <c r="A21" s="293" t="s">
        <v>161</v>
      </c>
      <c r="B21" s="297" t="s">
        <v>2</v>
      </c>
      <c r="C21" s="297" t="s">
        <v>958</v>
      </c>
      <c r="D21" s="311">
        <v>542.96304969000005</v>
      </c>
      <c r="E21" s="311">
        <v>910.12418425999999</v>
      </c>
      <c r="F21" s="302">
        <f t="shared" si="0"/>
        <v>0.67621753410223273</v>
      </c>
      <c r="G21" s="311">
        <v>651.30040441000006</v>
      </c>
      <c r="H21" s="311">
        <v>910.12418425999999</v>
      </c>
      <c r="I21" s="302">
        <f t="shared" si="1"/>
        <v>0.39739539250626321</v>
      </c>
      <c r="J21" s="311">
        <v>1188.3235289500001</v>
      </c>
      <c r="K21" s="311">
        <v>1258.2906045699999</v>
      </c>
      <c r="L21" s="311">
        <v>1297.8901208899999</v>
      </c>
      <c r="M21" s="312">
        <v>1380.0246755400001</v>
      </c>
      <c r="N21" t="str">
        <f t="shared" si="2"/>
        <v>PortugalManufacture of basic pharmaceutical products and pharmaceutical preparations (C21)</v>
      </c>
      <c r="O21" s="11">
        <f>INDEX('Base de dados IHS'!$A$1:$V$676,MATCH($N21,'Base de dados IHS'!$C$1:$C$676,0),MATCH($O$1,'Base de dados IHS'!$A$1:$V$1,0))</f>
        <v>215192.52938671</v>
      </c>
      <c r="P21" s="11">
        <f>INDEX('Base de dados IHS'!$A$1:$V$676,MATCH($N21,'Base de dados IHS'!$C$1:$C$676,0),MATCH($P$1,'Base de dados IHS'!$A$1:$V$1,0))</f>
        <v>232686.90641277001</v>
      </c>
      <c r="Q21" s="131">
        <f>INDEX('Base de dados IHS'!$A$1:$V$676,MATCH($N21,'Base de dados IHS'!$C$1:$C$676,0),MATCH($Q$1,'Base de dados IHS'!$A$1:$V$1,0))</f>
        <v>3.0265939355152332E-3</v>
      </c>
      <c r="R21" s="131">
        <f>INDEX('Base de dados IHS'!$A$1:$V$676,MATCH($N21,'Base de dados IHS'!$C$1:$C$676,0),MATCH($R$1,'Base de dados IHS'!$A$1:$V$1,0))</f>
        <v>3.9113682771883367E-3</v>
      </c>
      <c r="S21" s="131">
        <f>INDEX('Base de dados IHS'!$A$1:$V$676,MATCH($N21,'Base de dados IHS'!$C$1:$C$676,0),MATCH($S$1,'Base de dados IHS'!$A$1:$V$1,0))</f>
        <v>8.847743416731035E-4</v>
      </c>
      <c r="T21" t="str">
        <f>IF(Q21&lt;'Cenario A ranking setor PIB'!$G$100,"N","Y")</f>
        <v>N</v>
      </c>
    </row>
    <row r="22" spans="1:20" hidden="1" x14ac:dyDescent="0.45">
      <c r="A22" s="293" t="s">
        <v>177</v>
      </c>
      <c r="B22" s="297" t="s">
        <v>2</v>
      </c>
      <c r="C22" s="297" t="s">
        <v>958</v>
      </c>
      <c r="D22" s="311">
        <v>103.52631955</v>
      </c>
      <c r="E22" s="311">
        <v>178.81643019000001</v>
      </c>
      <c r="F22" s="302">
        <f t="shared" si="0"/>
        <v>0.72725574488946476</v>
      </c>
      <c r="G22" s="311">
        <v>130.36390589999999</v>
      </c>
      <c r="H22" s="311">
        <v>178.81643019000001</v>
      </c>
      <c r="I22" s="302">
        <f t="shared" si="1"/>
        <v>0.37167131465949743</v>
      </c>
      <c r="J22" s="311">
        <v>229.11261422000001</v>
      </c>
      <c r="K22" s="311">
        <v>261.42795833999998</v>
      </c>
      <c r="L22" s="311">
        <v>284.67928282999998</v>
      </c>
      <c r="M22" s="312">
        <v>341.65553215</v>
      </c>
      <c r="N22" t="str">
        <f t="shared" si="2"/>
        <v>BoliviaManufacture of basic pharmaceutical products and pharmaceutical preparations (C21)</v>
      </c>
      <c r="O22" s="11">
        <f>INDEX('Base de dados IHS'!$A$1:$V$676,MATCH($N22,'Base de dados IHS'!$C$1:$C$676,0),MATCH($O$1,'Base de dados IHS'!$A$1:$V$1,0))</f>
        <v>35334.894672080001</v>
      </c>
      <c r="P22" s="11">
        <f>INDEX('Base de dados IHS'!$A$1:$V$676,MATCH($N22,'Base de dados IHS'!$C$1:$C$676,0),MATCH($P$1,'Base de dados IHS'!$A$1:$V$1,0))</f>
        <v>39600.741188879998</v>
      </c>
      <c r="Q22" s="131">
        <f>INDEX('Base de dados IHS'!$A$1:$V$676,MATCH($N22,'Base de dados IHS'!$C$1:$C$676,0),MATCH($Q$1,'Base de dados IHS'!$A$1:$V$1,0))</f>
        <v>3.6893814771438251E-3</v>
      </c>
      <c r="R22" s="131">
        <f>INDEX('Base de dados IHS'!$A$1:$V$676,MATCH($N22,'Base de dados IHS'!$C$1:$C$676,0),MATCH($R$1,'Base de dados IHS'!$A$1:$V$1,0))</f>
        <v>4.5154819031572114E-3</v>
      </c>
      <c r="S22" s="131">
        <f>INDEX('Base de dados IHS'!$A$1:$V$676,MATCH($N22,'Base de dados IHS'!$C$1:$C$676,0),MATCH($S$1,'Base de dados IHS'!$A$1:$V$1,0))</f>
        <v>8.2610042601338621E-4</v>
      </c>
      <c r="T22" t="str">
        <f>IF(Q22&lt;'Cenario A ranking setor PIB'!$G$100,"N","Y")</f>
        <v>N</v>
      </c>
    </row>
    <row r="23" spans="1:20" x14ac:dyDescent="0.45">
      <c r="A23" s="293" t="s">
        <v>154</v>
      </c>
      <c r="B23" s="297" t="s">
        <v>2</v>
      </c>
      <c r="C23" s="297" t="s">
        <v>958</v>
      </c>
      <c r="D23" s="311">
        <v>1289.00174279</v>
      </c>
      <c r="E23" s="311">
        <v>2309.16738295</v>
      </c>
      <c r="F23" s="302">
        <f t="shared" si="0"/>
        <v>0.79143852664767289</v>
      </c>
      <c r="G23" s="311">
        <v>1683.04546392</v>
      </c>
      <c r="H23" s="311">
        <v>2309.16738295</v>
      </c>
      <c r="I23" s="302">
        <f t="shared" si="1"/>
        <v>0.37201723450279989</v>
      </c>
      <c r="J23" s="311">
        <v>2601.0848229500002</v>
      </c>
      <c r="K23" s="311">
        <v>3186.3509891600002</v>
      </c>
      <c r="L23" s="311">
        <v>3647.8643506600001</v>
      </c>
      <c r="M23" s="312">
        <v>4983.6232497000001</v>
      </c>
      <c r="N23" t="str">
        <f t="shared" si="2"/>
        <v>PakistanManufacture of basic pharmaceutical products and pharmaceutical preparations (C21)</v>
      </c>
      <c r="O23" s="11">
        <f>INDEX('Base de dados IHS'!$A$1:$V$676,MATCH($N23,'Base de dados IHS'!$C$1:$C$676,0),MATCH($O$1,'Base de dados IHS'!$A$1:$V$1,0))</f>
        <v>243681.57424943999</v>
      </c>
      <c r="P23" s="11">
        <f>INDEX('Base de dados IHS'!$A$1:$V$676,MATCH($N23,'Base de dados IHS'!$C$1:$C$676,0),MATCH($P$1,'Base de dados IHS'!$A$1:$V$1,0))</f>
        <v>307178.14587732003</v>
      </c>
      <c r="Q23" s="131">
        <f>INDEX('Base de dados IHS'!$A$1:$V$676,MATCH($N23,'Base de dados IHS'!$C$1:$C$676,0),MATCH($Q$1,'Base de dados IHS'!$A$1:$V$1,0))</f>
        <v>6.9067407706303744E-3</v>
      </c>
      <c r="R23" s="131">
        <f>INDEX('Base de dados IHS'!$A$1:$V$676,MATCH($N23,'Base de dados IHS'!$C$1:$C$676,0),MATCH($R$1,'Base de dados IHS'!$A$1:$V$1,0))</f>
        <v>7.5173556906363674E-3</v>
      </c>
      <c r="S23" s="131">
        <f>INDEX('Base de dados IHS'!$A$1:$V$676,MATCH($N23,'Base de dados IHS'!$C$1:$C$676,0),MATCH($S$1,'Base de dados IHS'!$A$1:$V$1,0))</f>
        <v>6.1061492000599304E-4</v>
      </c>
      <c r="T23" t="str">
        <f>IF(Q23&lt;'Cenario A ranking setor PIB'!$G$100,"N","Y")</f>
        <v>Y</v>
      </c>
    </row>
    <row r="24" spans="1:20" hidden="1" x14ac:dyDescent="0.45">
      <c r="A24" s="293" t="s">
        <v>108</v>
      </c>
      <c r="B24" s="297" t="s">
        <v>2</v>
      </c>
      <c r="C24" s="297" t="s">
        <v>958</v>
      </c>
      <c r="D24" s="311">
        <v>1004.85303615</v>
      </c>
      <c r="E24" s="311">
        <v>2600.2983073199998</v>
      </c>
      <c r="F24" s="302">
        <f t="shared" si="0"/>
        <v>1.5877399119803615</v>
      </c>
      <c r="G24" s="311">
        <v>1639.44008156</v>
      </c>
      <c r="H24" s="311">
        <v>2600.2983073199998</v>
      </c>
      <c r="I24" s="302">
        <f t="shared" si="1"/>
        <v>0.58608926094188241</v>
      </c>
      <c r="J24" s="311">
        <v>3324.3453313800001</v>
      </c>
      <c r="K24" s="311">
        <v>3874.1883344100002</v>
      </c>
      <c r="L24" s="311">
        <v>4351.8521267400001</v>
      </c>
      <c r="M24" s="312">
        <v>5836.8021825599999</v>
      </c>
      <c r="N24" t="str">
        <f t="shared" si="2"/>
        <v>TurkeyManufacture of basic pharmaceutical products and pharmaceutical preparations (C21)</v>
      </c>
      <c r="O24" s="11">
        <f>INDEX('Base de dados IHS'!$A$1:$V$676,MATCH($N24,'Base de dados IHS'!$C$1:$C$676,0),MATCH($O$1,'Base de dados IHS'!$A$1:$V$1,0))</f>
        <v>659235.83503077005</v>
      </c>
      <c r="P24" s="11">
        <f>INDEX('Base de dados IHS'!$A$1:$V$676,MATCH($N24,'Base de dados IHS'!$C$1:$C$676,0),MATCH($P$1,'Base de dados IHS'!$A$1:$V$1,0))</f>
        <v>865088.75381619995</v>
      </c>
      <c r="Q24" s="131">
        <f>INDEX('Base de dados IHS'!$A$1:$V$676,MATCH($N24,'Base de dados IHS'!$C$1:$C$676,0),MATCH($Q$1,'Base de dados IHS'!$A$1:$V$1,0))</f>
        <v>2.4868794965969632E-3</v>
      </c>
      <c r="R24" s="131">
        <f>INDEX('Base de dados IHS'!$A$1:$V$676,MATCH($N24,'Base de dados IHS'!$C$1:$C$676,0),MATCH($R$1,'Base de dados IHS'!$A$1:$V$1,0))</f>
        <v>3.005816797235199E-3</v>
      </c>
      <c r="S24" s="131">
        <f>INDEX('Base de dados IHS'!$A$1:$V$676,MATCH($N24,'Base de dados IHS'!$C$1:$C$676,0),MATCH($S$1,'Base de dados IHS'!$A$1:$V$1,0))</f>
        <v>5.1893730063823579E-4</v>
      </c>
      <c r="T24" t="str">
        <f>IF(Q24&lt;'Cenario A ranking setor PIB'!$G$100,"N","Y")</f>
        <v>N</v>
      </c>
    </row>
    <row r="25" spans="1:20" hidden="1" x14ac:dyDescent="0.45">
      <c r="A25" s="293" t="s">
        <v>73</v>
      </c>
      <c r="B25" s="297" t="s">
        <v>2</v>
      </c>
      <c r="C25" s="297" t="s">
        <v>958</v>
      </c>
      <c r="D25" s="311">
        <v>1202.4355510800001</v>
      </c>
      <c r="E25" s="311">
        <v>1995.51413376</v>
      </c>
      <c r="F25" s="302">
        <f t="shared" si="0"/>
        <v>0.65956015851966021</v>
      </c>
      <c r="G25" s="311">
        <v>1350.1813579899999</v>
      </c>
      <c r="H25" s="311">
        <v>1995.51413376</v>
      </c>
      <c r="I25" s="302">
        <f t="shared" si="1"/>
        <v>0.47796006954998993</v>
      </c>
      <c r="J25" s="311">
        <v>2374.5979309499999</v>
      </c>
      <c r="K25" s="311">
        <v>2538.02105811</v>
      </c>
      <c r="L25" s="311">
        <v>2661.9663604699999</v>
      </c>
      <c r="M25" s="312">
        <v>2979.1108104800001</v>
      </c>
      <c r="N25" t="str">
        <f t="shared" si="2"/>
        <v>TaiwanManufacture of basic pharmaceutical products and pharmaceutical preparations (C21)</v>
      </c>
      <c r="O25" s="11">
        <f>INDEX('Base de dados IHS'!$A$1:$V$676,MATCH($N25,'Base de dados IHS'!$C$1:$C$676,0),MATCH($O$1,'Base de dados IHS'!$A$1:$V$1,0))</f>
        <v>546880.06131035998</v>
      </c>
      <c r="P25" s="11">
        <f>INDEX('Base de dados IHS'!$A$1:$V$676,MATCH($N25,'Base de dados IHS'!$C$1:$C$676,0),MATCH($P$1,'Base de dados IHS'!$A$1:$V$1,0))</f>
        <v>674049.24440882006</v>
      </c>
      <c r="Q25" s="131">
        <f>INDEX('Base de dados IHS'!$A$1:$V$676,MATCH($N25,'Base de dados IHS'!$C$1:$C$676,0),MATCH($Q$1,'Base de dados IHS'!$A$1:$V$1,0))</f>
        <v>2.4688802052041871E-3</v>
      </c>
      <c r="R25" s="131">
        <f>INDEX('Base de dados IHS'!$A$1:$V$676,MATCH($N25,'Base de dados IHS'!$C$1:$C$676,0),MATCH($R$1,'Base de dados IHS'!$A$1:$V$1,0))</f>
        <v>2.9604871607120942E-3</v>
      </c>
      <c r="S25" s="131">
        <f>INDEX('Base de dados IHS'!$A$1:$V$676,MATCH($N25,'Base de dados IHS'!$C$1:$C$676,0),MATCH($S$1,'Base de dados IHS'!$A$1:$V$1,0))</f>
        <v>4.9160695550790707E-4</v>
      </c>
      <c r="T25" t="str">
        <f>IF(Q25&lt;'Cenario A ranking setor PIB'!$G$100,"N","Y")</f>
        <v>N</v>
      </c>
    </row>
    <row r="26" spans="1:20" x14ac:dyDescent="0.45">
      <c r="A26" s="293" t="s">
        <v>72</v>
      </c>
      <c r="B26" s="297" t="s">
        <v>2</v>
      </c>
      <c r="C26" s="297" t="s">
        <v>958</v>
      </c>
      <c r="D26" s="311">
        <v>2103.5227040200002</v>
      </c>
      <c r="E26" s="311">
        <v>3086.8327909499999</v>
      </c>
      <c r="F26" s="302">
        <f t="shared" si="0"/>
        <v>0.46745874672558352</v>
      </c>
      <c r="G26" s="311">
        <v>2732.2607567700002</v>
      </c>
      <c r="H26" s="311">
        <v>3086.8327909499999</v>
      </c>
      <c r="I26" s="302">
        <f t="shared" si="1"/>
        <v>0.12977239939542384</v>
      </c>
      <c r="J26" s="311">
        <v>3900.9473029000001</v>
      </c>
      <c r="K26" s="311">
        <v>4266.7159217199996</v>
      </c>
      <c r="L26" s="311">
        <v>4530.0017162699996</v>
      </c>
      <c r="M26" s="312">
        <v>5091.5553670700001</v>
      </c>
      <c r="N26" t="str">
        <f t="shared" si="2"/>
        <v>AustriaManufacture of basic pharmaceutical products and pharmaceutical preparations (C21)</v>
      </c>
      <c r="O26" s="11">
        <f>INDEX('Base de dados IHS'!$A$1:$V$676,MATCH($N26,'Base de dados IHS'!$C$1:$C$676,0),MATCH($O$1,'Base de dados IHS'!$A$1:$V$1,0))</f>
        <v>410010.85265116999</v>
      </c>
      <c r="P26" s="11">
        <f>INDEX('Base de dados IHS'!$A$1:$V$676,MATCH($N26,'Base de dados IHS'!$C$1:$C$676,0),MATCH($P$1,'Base de dados IHS'!$A$1:$V$1,0))</f>
        <v>432694.04992214998</v>
      </c>
      <c r="Q26" s="131">
        <f>INDEX('Base de dados IHS'!$A$1:$V$676,MATCH($N26,'Base de dados IHS'!$C$1:$C$676,0),MATCH($Q$1,'Base de dados IHS'!$A$1:$V$1,0))</f>
        <v>6.6638742343109623E-3</v>
      </c>
      <c r="R26" s="131">
        <f>INDEX('Base de dados IHS'!$A$1:$V$676,MATCH($N26,'Base de dados IHS'!$C$1:$C$676,0),MATCH($R$1,'Base de dados IHS'!$A$1:$V$1,0))</f>
        <v>7.1339848364112722E-3</v>
      </c>
      <c r="S26" s="131">
        <f>INDEX('Base de dados IHS'!$A$1:$V$676,MATCH($N26,'Base de dados IHS'!$C$1:$C$676,0),MATCH($S$1,'Base de dados IHS'!$A$1:$V$1,0))</f>
        <v>4.7011060210030986E-4</v>
      </c>
      <c r="T26" t="str">
        <f>IF(Q26&lt;'Cenario A ranking setor PIB'!$G$100,"N","Y")</f>
        <v>Y</v>
      </c>
    </row>
    <row r="27" spans="1:20" x14ac:dyDescent="0.45">
      <c r="A27" s="293" t="s">
        <v>76</v>
      </c>
      <c r="B27" s="297" t="s">
        <v>2</v>
      </c>
      <c r="C27" s="297" t="s">
        <v>958</v>
      </c>
      <c r="D27" s="311">
        <v>20992.219192379998</v>
      </c>
      <c r="E27" s="311">
        <v>20520.417698699999</v>
      </c>
      <c r="F27" s="302">
        <f t="shared" si="0"/>
        <v>-2.2475065135145855E-2</v>
      </c>
      <c r="G27" s="311">
        <v>18397.765000759999</v>
      </c>
      <c r="H27" s="311">
        <v>20520.417698699999</v>
      </c>
      <c r="I27" s="302">
        <f t="shared" si="1"/>
        <v>0.11537557403588505</v>
      </c>
      <c r="J27" s="311">
        <v>21336.70069514</v>
      </c>
      <c r="K27" s="311">
        <v>22581.271300560002</v>
      </c>
      <c r="L27" s="311">
        <v>23349.225295659999</v>
      </c>
      <c r="M27" s="312">
        <v>25454.363364370001</v>
      </c>
      <c r="N27" t="str">
        <f t="shared" si="2"/>
        <v>United KingdomManufacture of basic pharmaceutical products and pharmaceutical preparations (C21)</v>
      </c>
      <c r="O27" s="11">
        <f>INDEX('Base de dados IHS'!$A$1:$V$676,MATCH($N27,'Base de dados IHS'!$C$1:$C$676,0),MATCH($O$1,'Base de dados IHS'!$A$1:$V$1,0))</f>
        <v>2643868.3114987002</v>
      </c>
      <c r="P27" s="11">
        <f>INDEX('Base de dados IHS'!$A$1:$V$676,MATCH($N27,'Base de dados IHS'!$C$1:$C$676,0),MATCH($P$1,'Base de dados IHS'!$A$1:$V$1,0))</f>
        <v>2777419.6130784</v>
      </c>
      <c r="Q27" s="131">
        <f>INDEX('Base de dados IHS'!$A$1:$V$676,MATCH($N27,'Base de dados IHS'!$C$1:$C$676,0),MATCH($Q$1,'Base de dados IHS'!$A$1:$V$1,0))</f>
        <v>6.9586540754486602E-3</v>
      </c>
      <c r="R27" s="131">
        <f>INDEX('Base de dados IHS'!$A$1:$V$676,MATCH($N27,'Base de dados IHS'!$C$1:$C$676,0),MATCH($R$1,'Base de dados IHS'!$A$1:$V$1,0))</f>
        <v>7.388303014090063E-3</v>
      </c>
      <c r="S27" s="131">
        <f>INDEX('Base de dados IHS'!$A$1:$V$676,MATCH($N27,'Base de dados IHS'!$C$1:$C$676,0),MATCH($S$1,'Base de dados IHS'!$A$1:$V$1,0))</f>
        <v>4.2964893864140281E-4</v>
      </c>
      <c r="T27" t="str">
        <f>IF(Q27&lt;'Cenario A ranking setor PIB'!$G$100,"N","Y")</f>
        <v>Y</v>
      </c>
    </row>
    <row r="28" spans="1:20" hidden="1" x14ac:dyDescent="0.45">
      <c r="A28" s="293" t="s">
        <v>66</v>
      </c>
      <c r="B28" s="297" t="s">
        <v>2</v>
      </c>
      <c r="C28" s="297" t="s">
        <v>958</v>
      </c>
      <c r="D28" s="311">
        <v>2116.2188464599999</v>
      </c>
      <c r="E28" s="311">
        <v>3673.2323740800002</v>
      </c>
      <c r="F28" s="302">
        <f t="shared" si="0"/>
        <v>0.73575260433228107</v>
      </c>
      <c r="G28" s="311">
        <v>2951.9850245399998</v>
      </c>
      <c r="H28" s="311">
        <v>3673.2323740800002</v>
      </c>
      <c r="I28" s="302">
        <f t="shared" si="1"/>
        <v>0.24432622237045076</v>
      </c>
      <c r="J28" s="311">
        <v>4426.7792557700004</v>
      </c>
      <c r="K28" s="311">
        <v>4859.6522971799996</v>
      </c>
      <c r="L28" s="311">
        <v>5180.2504547999997</v>
      </c>
      <c r="M28" s="312">
        <v>5962.0601440199998</v>
      </c>
      <c r="N28" t="str">
        <f t="shared" si="2"/>
        <v>NetherlandsManufacture of basic pharmaceutical products and pharmaceutical preparations (C21)</v>
      </c>
      <c r="O28" s="11">
        <f>INDEX('Base de dados IHS'!$A$1:$V$676,MATCH($N28,'Base de dados IHS'!$C$1:$C$676,0),MATCH($O$1,'Base de dados IHS'!$A$1:$V$1,0))</f>
        <v>829203.89806390996</v>
      </c>
      <c r="P28" s="11">
        <f>INDEX('Base de dados IHS'!$A$1:$V$676,MATCH($N28,'Base de dados IHS'!$C$1:$C$676,0),MATCH($P$1,'Base de dados IHS'!$A$1:$V$1,0))</f>
        <v>928325.09368340997</v>
      </c>
      <c r="Q28" s="131">
        <f>INDEX('Base de dados IHS'!$A$1:$V$676,MATCH($N28,'Base de dados IHS'!$C$1:$C$676,0),MATCH($Q$1,'Base de dados IHS'!$A$1:$V$1,0))</f>
        <v>3.560023091344029E-3</v>
      </c>
      <c r="R28" s="131">
        <f>INDEX('Base de dados IHS'!$A$1:$V$676,MATCH($N28,'Base de dados IHS'!$C$1:$C$676,0),MATCH($R$1,'Base de dados IHS'!$A$1:$V$1,0))</f>
        <v>3.9568383953786515E-3</v>
      </c>
      <c r="S28" s="131">
        <f>INDEX('Base de dados IHS'!$A$1:$V$676,MATCH($N28,'Base de dados IHS'!$C$1:$C$676,0),MATCH($S$1,'Base de dados IHS'!$A$1:$V$1,0))</f>
        <v>3.9681530403462258E-4</v>
      </c>
      <c r="T28" t="str">
        <f>IF(Q28&lt;'Cenario A ranking setor PIB'!$G$100,"N","Y")</f>
        <v>N</v>
      </c>
    </row>
    <row r="29" spans="1:20" hidden="1" x14ac:dyDescent="0.45">
      <c r="A29" s="293" t="s">
        <v>75</v>
      </c>
      <c r="B29" s="297" t="s">
        <v>2</v>
      </c>
      <c r="C29" s="297" t="s">
        <v>958</v>
      </c>
      <c r="D29" s="311">
        <v>4146.7319967000003</v>
      </c>
      <c r="E29" s="311">
        <v>4094.9454821899999</v>
      </c>
      <c r="F29" s="302">
        <f t="shared" si="0"/>
        <v>-1.2488512532570883E-2</v>
      </c>
      <c r="G29" s="311">
        <v>3548.8291104899999</v>
      </c>
      <c r="H29" s="311">
        <v>4094.9454821899999</v>
      </c>
      <c r="I29" s="302">
        <f t="shared" si="1"/>
        <v>0.15388635369500658</v>
      </c>
      <c r="J29" s="311">
        <v>5128.4923170000002</v>
      </c>
      <c r="K29" s="311">
        <v>5607.05671489</v>
      </c>
      <c r="L29" s="311">
        <v>5968.3277716000002</v>
      </c>
      <c r="M29" s="312">
        <v>6872.72340695</v>
      </c>
      <c r="N29" t="str">
        <f t="shared" si="2"/>
        <v>MexicoManufacture of basic pharmaceutical products and pharmaceutical preparations (C21)</v>
      </c>
      <c r="O29" s="11">
        <f>INDEX('Base de dados IHS'!$A$1:$V$676,MATCH($N29,'Base de dados IHS'!$C$1:$C$676,0),MATCH($O$1,'Base de dados IHS'!$A$1:$V$1,0))</f>
        <v>1239119.2771185001</v>
      </c>
      <c r="P29" s="11">
        <f>INDEX('Base de dados IHS'!$A$1:$V$676,MATCH($N29,'Base de dados IHS'!$C$1:$C$676,0),MATCH($P$1,'Base de dados IHS'!$A$1:$V$1,0))</f>
        <v>1262038.2891611001</v>
      </c>
      <c r="Q29" s="131">
        <f>INDEX('Base de dados IHS'!$A$1:$V$676,MATCH($N29,'Base de dados IHS'!$C$1:$C$676,0),MATCH($Q$1,'Base de dados IHS'!$A$1:$V$1,0))</f>
        <v>2.8639931409529806E-3</v>
      </c>
      <c r="R29" s="131">
        <f>INDEX('Base de dados IHS'!$A$1:$V$676,MATCH($N29,'Base de dados IHS'!$C$1:$C$676,0),MATCH($R$1,'Base de dados IHS'!$A$1:$V$1,0))</f>
        <v>3.2447078011491911E-3</v>
      </c>
      <c r="S29" s="131">
        <f>INDEX('Base de dados IHS'!$A$1:$V$676,MATCH($N29,'Base de dados IHS'!$C$1:$C$676,0),MATCH($S$1,'Base de dados IHS'!$A$1:$V$1,0))</f>
        <v>3.8071466019621051E-4</v>
      </c>
      <c r="T29" t="str">
        <f>IF(Q29&lt;'Cenario A ranking setor PIB'!$G$100,"N","Y")</f>
        <v>N</v>
      </c>
    </row>
    <row r="30" spans="1:20" hidden="1" x14ac:dyDescent="0.45">
      <c r="A30" s="293" t="s">
        <v>111</v>
      </c>
      <c r="B30" s="297" t="s">
        <v>2</v>
      </c>
      <c r="C30" s="297" t="s">
        <v>958</v>
      </c>
      <c r="D30" s="311">
        <v>667.37593183000001</v>
      </c>
      <c r="E30" s="311">
        <v>963.72041554999998</v>
      </c>
      <c r="F30" s="302">
        <f t="shared" si="0"/>
        <v>0.4440443078422065</v>
      </c>
      <c r="G30" s="311">
        <v>780.76924709000002</v>
      </c>
      <c r="H30" s="311">
        <v>963.72041554999998</v>
      </c>
      <c r="I30" s="302">
        <f t="shared" si="1"/>
        <v>0.23432168869595738</v>
      </c>
      <c r="J30" s="311">
        <v>1277.9719827700001</v>
      </c>
      <c r="K30" s="311">
        <v>1327.2096606600001</v>
      </c>
      <c r="L30" s="311">
        <v>1357.9520671</v>
      </c>
      <c r="M30" s="312">
        <v>1396.5168665199999</v>
      </c>
      <c r="N30" t="str">
        <f t="shared" si="2"/>
        <v>Czech RepublicManufacture of basic pharmaceutical products and pharmaceutical preparations (C21)</v>
      </c>
      <c r="O30" s="11">
        <f>INDEX('Base de dados IHS'!$A$1:$V$676,MATCH($N30,'Base de dados IHS'!$C$1:$C$676,0),MATCH($O$1,'Base de dados IHS'!$A$1:$V$1,0))</f>
        <v>220291.04889604999</v>
      </c>
      <c r="P30" s="11">
        <f>INDEX('Base de dados IHS'!$A$1:$V$676,MATCH($N30,'Base de dados IHS'!$C$1:$C$676,0),MATCH($P$1,'Base de dados IHS'!$A$1:$V$1,0))</f>
        <v>247058.51905223</v>
      </c>
      <c r="Q30" s="131">
        <f>INDEX('Base de dados IHS'!$A$1:$V$676,MATCH($N30,'Base de dados IHS'!$C$1:$C$676,0),MATCH($Q$1,'Base de dados IHS'!$A$1:$V$1,0))</f>
        <v>3.5442622430765496E-3</v>
      </c>
      <c r="R30" s="131">
        <f>INDEX('Base de dados IHS'!$A$1:$V$676,MATCH($N30,'Base de dados IHS'!$C$1:$C$676,0),MATCH($R$1,'Base de dados IHS'!$A$1:$V$1,0))</f>
        <v>3.9007779179080337E-3</v>
      </c>
      <c r="S30" s="131">
        <f>INDEX('Base de dados IHS'!$A$1:$V$676,MATCH($N30,'Base de dados IHS'!$C$1:$C$676,0),MATCH($S$1,'Base de dados IHS'!$A$1:$V$1,0))</f>
        <v>3.5651567483148405E-4</v>
      </c>
      <c r="T30" t="str">
        <f>IF(Q30&lt;'Cenario A ranking setor PIB'!$G$100,"N","Y")</f>
        <v>N</v>
      </c>
    </row>
    <row r="31" spans="1:20" hidden="1" x14ac:dyDescent="0.45">
      <c r="A31" s="293" t="s">
        <v>144</v>
      </c>
      <c r="B31" s="297" t="s">
        <v>2</v>
      </c>
      <c r="C31" s="297" t="s">
        <v>958</v>
      </c>
      <c r="D31" s="311">
        <v>169.65433442</v>
      </c>
      <c r="E31" s="311">
        <v>452.29836456999999</v>
      </c>
      <c r="F31" s="302">
        <f t="shared" si="0"/>
        <v>1.6659994636522533</v>
      </c>
      <c r="G31" s="311">
        <v>298.94200021</v>
      </c>
      <c r="H31" s="311">
        <v>452.29836456999999</v>
      </c>
      <c r="I31" s="302">
        <f t="shared" si="1"/>
        <v>0.51299705043878285</v>
      </c>
      <c r="J31" s="311">
        <v>539.88614316999997</v>
      </c>
      <c r="K31" s="311">
        <v>660.27901366000003</v>
      </c>
      <c r="L31" s="311">
        <v>758.05495675999998</v>
      </c>
      <c r="M31" s="312">
        <v>1007.13238941</v>
      </c>
      <c r="N31" t="str">
        <f t="shared" si="2"/>
        <v>MalaysiaManufacture of basic pharmaceutical products and pharmaceutical preparations (C21)</v>
      </c>
      <c r="O31" s="11">
        <f>INDEX('Base de dados IHS'!$A$1:$V$676,MATCH($N31,'Base de dados IHS'!$C$1:$C$676,0),MATCH($O$1,'Base de dados IHS'!$A$1:$V$1,0))</f>
        <v>301830.41438700003</v>
      </c>
      <c r="P31" s="11">
        <f>INDEX('Base de dados IHS'!$A$1:$V$676,MATCH($N31,'Base de dados IHS'!$C$1:$C$676,0),MATCH($P$1,'Base de dados IHS'!$A$1:$V$1,0))</f>
        <v>356559.39228144003</v>
      </c>
      <c r="Q31" s="131">
        <f>INDEX('Base de dados IHS'!$A$1:$V$676,MATCH($N31,'Base de dados IHS'!$C$1:$C$676,0),MATCH($Q$1,'Base de dados IHS'!$A$1:$V$1,0))</f>
        <v>9.9043034088242498E-4</v>
      </c>
      <c r="R31" s="131">
        <f>INDEX('Base de dados IHS'!$A$1:$V$676,MATCH($N31,'Base de dados IHS'!$C$1:$C$676,0),MATCH($R$1,'Base de dados IHS'!$A$1:$V$1,0))</f>
        <v>1.268507784007527E-3</v>
      </c>
      <c r="S31" s="131">
        <f>INDEX('Base de dados IHS'!$A$1:$V$676,MATCH($N31,'Base de dados IHS'!$C$1:$C$676,0),MATCH($S$1,'Base de dados IHS'!$A$1:$V$1,0))</f>
        <v>2.7807744312510199E-4</v>
      </c>
      <c r="T31" t="str">
        <f>IF(Q31&lt;'Cenario A ranking setor PIB'!$G$100,"N","Y")</f>
        <v>N</v>
      </c>
    </row>
    <row r="32" spans="1:20" x14ac:dyDescent="0.45">
      <c r="A32" s="293" t="s">
        <v>101</v>
      </c>
      <c r="B32" s="297" t="s">
        <v>2</v>
      </c>
      <c r="C32" s="297" t="s">
        <v>958</v>
      </c>
      <c r="D32" s="311">
        <v>9356.0085162600008</v>
      </c>
      <c r="E32" s="311">
        <v>11163.44375215</v>
      </c>
      <c r="F32" s="302">
        <f t="shared" si="0"/>
        <v>0.19318443679789521</v>
      </c>
      <c r="G32" s="311">
        <v>10333.6586458</v>
      </c>
      <c r="H32" s="311">
        <v>11163.44375215</v>
      </c>
      <c r="I32" s="302">
        <f t="shared" si="1"/>
        <v>8.029925651620573E-2</v>
      </c>
      <c r="J32" s="311">
        <v>13765.962600520001</v>
      </c>
      <c r="K32" s="311">
        <v>14633.53451096</v>
      </c>
      <c r="L32" s="311">
        <v>15298.958672000001</v>
      </c>
      <c r="M32" s="312">
        <v>16693.848960520001</v>
      </c>
      <c r="N32" t="str">
        <f t="shared" si="2"/>
        <v>ItalyManufacture of basic pharmaceutical products and pharmaceutical preparations (C21)</v>
      </c>
      <c r="O32" s="11">
        <f>INDEX('Base de dados IHS'!$A$1:$V$676,MATCH($N32,'Base de dados IHS'!$C$1:$C$676,0),MATCH($O$1,'Base de dados IHS'!$A$1:$V$1,0))</f>
        <v>1924364.2462229</v>
      </c>
      <c r="P32" s="11">
        <f>INDEX('Base de dados IHS'!$A$1:$V$676,MATCH($N32,'Base de dados IHS'!$C$1:$C$676,0),MATCH($P$1,'Base de dados IHS'!$A$1:$V$1,0))</f>
        <v>1980878.3634254001</v>
      </c>
      <c r="Q32" s="131">
        <f>INDEX('Base de dados IHS'!$A$1:$V$676,MATCH($N32,'Base de dados IHS'!$C$1:$C$676,0),MATCH($Q$1,'Base de dados IHS'!$A$1:$V$1,0))</f>
        <v>5.3699078363582562E-3</v>
      </c>
      <c r="R32" s="131">
        <f>INDEX('Base de dados IHS'!$A$1:$V$676,MATCH($N32,'Base de dados IHS'!$C$1:$C$676,0),MATCH($R$1,'Base de dados IHS'!$A$1:$V$1,0))</f>
        <v>5.6356028508715728E-3</v>
      </c>
      <c r="S32" s="131">
        <f>INDEX('Base de dados IHS'!$A$1:$V$676,MATCH($N32,'Base de dados IHS'!$C$1:$C$676,0),MATCH($S$1,'Base de dados IHS'!$A$1:$V$1,0))</f>
        <v>2.6569501451331658E-4</v>
      </c>
      <c r="T32" t="str">
        <f>IF(Q32&lt;'Cenario A ranking setor PIB'!$G$100,"N","Y")</f>
        <v>Y</v>
      </c>
    </row>
    <row r="33" spans="1:20" hidden="1" x14ac:dyDescent="0.45">
      <c r="A33" s="293" t="s">
        <v>63</v>
      </c>
      <c r="B33" s="297" t="s">
        <v>2</v>
      </c>
      <c r="C33" s="297" t="s">
        <v>958</v>
      </c>
      <c r="D33" s="311">
        <v>3330.00108955</v>
      </c>
      <c r="E33" s="311">
        <v>4400.64269178</v>
      </c>
      <c r="F33" s="302">
        <f t="shared" si="0"/>
        <v>0.32151388946682924</v>
      </c>
      <c r="G33" s="311">
        <v>3618.02331366</v>
      </c>
      <c r="H33" s="311">
        <v>4400.64269178</v>
      </c>
      <c r="I33" s="302">
        <f t="shared" si="1"/>
        <v>0.21631131429285921</v>
      </c>
      <c r="J33" s="311">
        <v>5215.2059005199999</v>
      </c>
      <c r="K33" s="311">
        <v>5651.5267874800002</v>
      </c>
      <c r="L33" s="311">
        <v>6000.0571171900001</v>
      </c>
      <c r="M33" s="312">
        <v>6961.5862485999996</v>
      </c>
      <c r="N33" t="str">
        <f t="shared" si="2"/>
        <v>CanadaManufacture of basic pharmaceutical products and pharmaceutical preparations (C21)</v>
      </c>
      <c r="O33" s="11">
        <f>INDEX('Base de dados IHS'!$A$1:$V$676,MATCH($N33,'Base de dados IHS'!$C$1:$C$676,0),MATCH($O$1,'Base de dados IHS'!$A$1:$V$1,0))</f>
        <v>1599989.9756132001</v>
      </c>
      <c r="P33" s="11">
        <f>INDEX('Base de dados IHS'!$A$1:$V$676,MATCH($N33,'Base de dados IHS'!$C$1:$C$676,0),MATCH($P$1,'Base de dados IHS'!$A$1:$V$1,0))</f>
        <v>1743385.5162593001</v>
      </c>
      <c r="Q33" s="131">
        <f>INDEX('Base de dados IHS'!$A$1:$V$676,MATCH($N33,'Base de dados IHS'!$C$1:$C$676,0),MATCH($Q$1,'Base de dados IHS'!$A$1:$V$1,0))</f>
        <v>2.2612787384954608E-3</v>
      </c>
      <c r="R33" s="131">
        <f>INDEX('Base de dados IHS'!$A$1:$V$676,MATCH($N33,'Base de dados IHS'!$C$1:$C$676,0),MATCH($R$1,'Base de dados IHS'!$A$1:$V$1,0))</f>
        <v>2.5241936741692401E-3</v>
      </c>
      <c r="S33" s="131">
        <f>INDEX('Base de dados IHS'!$A$1:$V$676,MATCH($N33,'Base de dados IHS'!$C$1:$C$676,0),MATCH($S$1,'Base de dados IHS'!$A$1:$V$1,0))</f>
        <v>2.6291493567377928E-4</v>
      </c>
      <c r="T33" t="str">
        <f>IF(Q33&lt;'Cenario A ranking setor PIB'!$G$100,"N","Y")</f>
        <v>N</v>
      </c>
    </row>
    <row r="34" spans="1:20" hidden="1" x14ac:dyDescent="0.45">
      <c r="A34" s="293" t="s">
        <v>151</v>
      </c>
      <c r="B34" s="297" t="s">
        <v>2</v>
      </c>
      <c r="C34" s="297" t="s">
        <v>958</v>
      </c>
      <c r="D34" s="311">
        <v>574.31849884999997</v>
      </c>
      <c r="E34" s="311">
        <v>922.64280788999997</v>
      </c>
      <c r="F34" s="302">
        <f t="shared" ref="F34:F65" si="3">H34/D34-1</f>
        <v>0.606500242874773</v>
      </c>
      <c r="G34" s="311">
        <v>768.12433979000002</v>
      </c>
      <c r="H34" s="311">
        <v>922.64280788999997</v>
      </c>
      <c r="I34" s="302">
        <f t="shared" ref="I34:I65" si="4">H34/G34-1</f>
        <v>0.20116335350373649</v>
      </c>
      <c r="J34" s="311">
        <v>1203.12909545</v>
      </c>
      <c r="K34" s="311">
        <v>1291.4760186799999</v>
      </c>
      <c r="L34" s="311">
        <v>1345.2152560500001</v>
      </c>
      <c r="M34" s="312">
        <v>1473.1309510399999</v>
      </c>
      <c r="N34" t="str">
        <f t="shared" ref="N34:N65" si="5">A34&amp;B34</f>
        <v>NorwayManufacture of basic pharmaceutical products and pharmaceutical preparations (C21)</v>
      </c>
      <c r="O34" s="11">
        <f>INDEX('Base de dados IHS'!$A$1:$V$676,MATCH($N34,'Base de dados IHS'!$C$1:$C$676,0),MATCH($O$1,'Base de dados IHS'!$A$1:$V$1,0))</f>
        <v>386512.35690163</v>
      </c>
      <c r="P34" s="11">
        <f>INDEX('Base de dados IHS'!$A$1:$V$676,MATCH($N34,'Base de dados IHS'!$C$1:$C$676,0),MATCH($P$1,'Base de dados IHS'!$A$1:$V$1,0))</f>
        <v>418559.21595058002</v>
      </c>
      <c r="Q34" s="131">
        <f>INDEX('Base de dados IHS'!$A$1:$V$676,MATCH($N34,'Base de dados IHS'!$C$1:$C$676,0),MATCH($Q$1,'Base de dados IHS'!$A$1:$V$1,0))</f>
        <v>1.9873215592574002E-3</v>
      </c>
      <c r="R34" s="131">
        <f>INDEX('Base de dados IHS'!$A$1:$V$676,MATCH($N34,'Base de dados IHS'!$C$1:$C$676,0),MATCH($R$1,'Base de dados IHS'!$A$1:$V$1,0))</f>
        <v>2.2043304094848505E-3</v>
      </c>
      <c r="S34" s="131">
        <f>INDEX('Base de dados IHS'!$A$1:$V$676,MATCH($N34,'Base de dados IHS'!$C$1:$C$676,0),MATCH($S$1,'Base de dados IHS'!$A$1:$V$1,0))</f>
        <v>2.1700885022745038E-4</v>
      </c>
      <c r="T34" t="str">
        <f>IF(Q34&lt;'Cenario A ranking setor PIB'!$G$100,"N","Y")</f>
        <v>N</v>
      </c>
    </row>
    <row r="35" spans="1:20" hidden="1" x14ac:dyDescent="0.45">
      <c r="A35" s="293" t="s">
        <v>178</v>
      </c>
      <c r="B35" s="297" t="s">
        <v>2</v>
      </c>
      <c r="C35" s="297" t="s">
        <v>958</v>
      </c>
      <c r="D35" s="311">
        <v>28.093749410000001</v>
      </c>
      <c r="E35" s="311">
        <v>53.493321979999997</v>
      </c>
      <c r="F35" s="302">
        <f t="shared" si="3"/>
        <v>0.90410048866453518</v>
      </c>
      <c r="G35" s="311">
        <v>35.337754050000001</v>
      </c>
      <c r="H35" s="311">
        <v>53.493321979999997</v>
      </c>
      <c r="I35" s="302">
        <f t="shared" si="4"/>
        <v>0.51377254774911196</v>
      </c>
      <c r="J35" s="311">
        <v>79.846008760000004</v>
      </c>
      <c r="K35" s="311">
        <v>95.051115859999996</v>
      </c>
      <c r="L35" s="311">
        <v>107.91529441</v>
      </c>
      <c r="M35" s="312">
        <v>145.26184838</v>
      </c>
      <c r="N35" t="str">
        <f t="shared" si="5"/>
        <v>SenegalManufacture of basic pharmaceutical products and pharmaceutical preparations (C21)</v>
      </c>
      <c r="O35" s="11">
        <f>INDEX('Base de dados IHS'!$A$1:$V$676,MATCH($N35,'Base de dados IHS'!$C$1:$C$676,0),MATCH($O$1,'Base de dados IHS'!$A$1:$V$1,0))</f>
        <v>18437.455260710001</v>
      </c>
      <c r="P35" s="11">
        <f>INDEX('Base de dados IHS'!$A$1:$V$676,MATCH($N35,'Base de dados IHS'!$C$1:$C$676,0),MATCH($P$1,'Base de dados IHS'!$A$1:$V$1,0))</f>
        <v>25150.80803964</v>
      </c>
      <c r="Q35" s="131">
        <f>INDEX('Base de dados IHS'!$A$1:$V$676,MATCH($N35,'Base de dados IHS'!$C$1:$C$676,0),MATCH($Q$1,'Base de dados IHS'!$A$1:$V$1,0))</f>
        <v>1.9166285992462493E-3</v>
      </c>
      <c r="R35" s="131">
        <f>INDEX('Base de dados IHS'!$A$1:$V$676,MATCH($N35,'Base de dados IHS'!$C$1:$C$676,0),MATCH($R$1,'Base de dados IHS'!$A$1:$V$1,0))</f>
        <v>2.126902718023595E-3</v>
      </c>
      <c r="S35" s="131">
        <f>INDEX('Base de dados IHS'!$A$1:$V$676,MATCH($N35,'Base de dados IHS'!$C$1:$C$676,0),MATCH($S$1,'Base de dados IHS'!$A$1:$V$1,0))</f>
        <v>2.1027411877734569E-4</v>
      </c>
      <c r="T35" t="str">
        <f>IF(Q35&lt;'Cenario A ranking setor PIB'!$G$100,"N","Y")</f>
        <v>N</v>
      </c>
    </row>
    <row r="36" spans="1:20" hidden="1" x14ac:dyDescent="0.45">
      <c r="A36" s="293" t="s">
        <v>142</v>
      </c>
      <c r="B36" s="297" t="s">
        <v>2</v>
      </c>
      <c r="C36" s="297" t="s">
        <v>958</v>
      </c>
      <c r="D36" s="311">
        <v>1436.8978855400001</v>
      </c>
      <c r="E36" s="311">
        <v>1488.8667477199999</v>
      </c>
      <c r="F36" s="302">
        <f t="shared" si="3"/>
        <v>3.6167401109696407E-2</v>
      </c>
      <c r="G36" s="311">
        <v>1474.7957129700001</v>
      </c>
      <c r="H36" s="311">
        <v>1488.8667477199999</v>
      </c>
      <c r="I36" s="302">
        <f t="shared" si="4"/>
        <v>9.5410060025622467E-3</v>
      </c>
      <c r="J36" s="311">
        <v>1498.0981312599999</v>
      </c>
      <c r="K36" s="311">
        <v>1689.76467869</v>
      </c>
      <c r="L36" s="311">
        <v>1851.4332528699999</v>
      </c>
      <c r="M36" s="312">
        <v>2322.9503004799999</v>
      </c>
      <c r="N36" t="str">
        <f t="shared" si="5"/>
        <v>ArgentinaManufacture of basic pharmaceutical products and pharmaceutical preparations (C21)</v>
      </c>
      <c r="O36" s="11">
        <f>INDEX('Base de dados IHS'!$A$1:$V$676,MATCH($N36,'Base de dados IHS'!$C$1:$C$676,0),MATCH($O$1,'Base de dados IHS'!$A$1:$V$1,0))</f>
        <v>464976.94374428003</v>
      </c>
      <c r="P36" s="11">
        <f>INDEX('Base de dados IHS'!$A$1:$V$676,MATCH($N36,'Base de dados IHS'!$C$1:$C$676,0),MATCH($P$1,'Base de dados IHS'!$A$1:$V$1,0))</f>
        <v>445673.70595729002</v>
      </c>
      <c r="Q36" s="131">
        <f>INDEX('Base de dados IHS'!$A$1:$V$676,MATCH($N36,'Base de dados IHS'!$C$1:$C$676,0),MATCH($Q$1,'Base de dados IHS'!$A$1:$V$1,0))</f>
        <v>3.1717609503259213E-3</v>
      </c>
      <c r="R36" s="131">
        <f>INDEX('Base de dados IHS'!$A$1:$V$676,MATCH($N36,'Base de dados IHS'!$C$1:$C$676,0),MATCH($R$1,'Base de dados IHS'!$A$1:$V$1,0))</f>
        <v>3.3407103174776069E-3</v>
      </c>
      <c r="S36" s="131">
        <f>INDEX('Base de dados IHS'!$A$1:$V$676,MATCH($N36,'Base de dados IHS'!$C$1:$C$676,0),MATCH($S$1,'Base de dados IHS'!$A$1:$V$1,0))</f>
        <v>1.6894936715168563E-4</v>
      </c>
      <c r="T36" t="str">
        <f>IF(Q36&lt;'Cenario A ranking setor PIB'!$G$100,"N","Y")</f>
        <v>N</v>
      </c>
    </row>
    <row r="37" spans="1:20" x14ac:dyDescent="0.45">
      <c r="A37" s="293" t="s">
        <v>164</v>
      </c>
      <c r="B37" s="297" t="s">
        <v>2</v>
      </c>
      <c r="C37" s="297" t="s">
        <v>958</v>
      </c>
      <c r="D37" s="311">
        <v>560.23053322999999</v>
      </c>
      <c r="E37" s="311">
        <v>653.94559487000004</v>
      </c>
      <c r="F37" s="302">
        <f t="shared" si="3"/>
        <v>0.16727946100989421</v>
      </c>
      <c r="G37" s="311">
        <v>566.43192231</v>
      </c>
      <c r="H37" s="311">
        <v>653.94559487000004</v>
      </c>
      <c r="I37" s="302">
        <f t="shared" si="4"/>
        <v>0.1544998950678933</v>
      </c>
      <c r="J37" s="311">
        <v>910.03650554000001</v>
      </c>
      <c r="K37" s="311">
        <v>960.75293724999995</v>
      </c>
      <c r="L37" s="311">
        <v>983.57833677999997</v>
      </c>
      <c r="M37" s="312">
        <v>1052.2482225900001</v>
      </c>
      <c r="N37" t="str">
        <f t="shared" si="5"/>
        <v>MoroccoManufacture of basic pharmaceutical products and pharmaceutical preparations (C21)</v>
      </c>
      <c r="O37" s="11">
        <f>INDEX('Base de dados IHS'!$A$1:$V$676,MATCH($N37,'Base de dados IHS'!$C$1:$C$676,0),MATCH($O$1,'Base de dados IHS'!$A$1:$V$1,0))</f>
        <v>115608.87885166</v>
      </c>
      <c r="P37" s="11">
        <f>INDEX('Base de dados IHS'!$A$1:$V$676,MATCH($N37,'Base de dados IHS'!$C$1:$C$676,0),MATCH($P$1,'Base de dados IHS'!$A$1:$V$1,0))</f>
        <v>129710.11086108</v>
      </c>
      <c r="Q37" s="131">
        <f>INDEX('Base de dados IHS'!$A$1:$V$676,MATCH($N37,'Base de dados IHS'!$C$1:$C$676,0),MATCH($Q$1,'Base de dados IHS'!$A$1:$V$1,0))</f>
        <v>4.8995538053508833E-3</v>
      </c>
      <c r="R37" s="131">
        <f>INDEX('Base de dados IHS'!$A$1:$V$676,MATCH($N37,'Base de dados IHS'!$C$1:$C$676,0),MATCH($R$1,'Base de dados IHS'!$A$1:$V$1,0))</f>
        <v>5.0415930610866423E-3</v>
      </c>
      <c r="S37" s="131">
        <f>INDEX('Base de dados IHS'!$A$1:$V$676,MATCH($N37,'Base de dados IHS'!$C$1:$C$676,0),MATCH($S$1,'Base de dados IHS'!$A$1:$V$1,0))</f>
        <v>1.4203925573575901E-4</v>
      </c>
      <c r="T37" t="str">
        <f>IF(Q37&lt;'Cenario A ranking setor PIB'!$G$100,"N","Y")</f>
        <v>Y</v>
      </c>
    </row>
    <row r="38" spans="1:20" hidden="1" x14ac:dyDescent="0.45">
      <c r="A38" s="293" t="s">
        <v>157</v>
      </c>
      <c r="B38" s="297" t="s">
        <v>2</v>
      </c>
      <c r="C38" s="297" t="s">
        <v>958</v>
      </c>
      <c r="D38" s="311">
        <v>119.03337088000001</v>
      </c>
      <c r="E38" s="311">
        <v>70.007045450000007</v>
      </c>
      <c r="F38" s="302">
        <f t="shared" si="3"/>
        <v>-0.41187042816274144</v>
      </c>
      <c r="G38" s="311">
        <v>48.939730150000003</v>
      </c>
      <c r="H38" s="311">
        <v>70.007045450000007</v>
      </c>
      <c r="I38" s="302">
        <f t="shared" si="4"/>
        <v>0.43047469275839489</v>
      </c>
      <c r="J38" s="311">
        <v>95.429011489999994</v>
      </c>
      <c r="K38" s="311">
        <v>100.21857341</v>
      </c>
      <c r="L38" s="311">
        <v>102.24581501</v>
      </c>
      <c r="M38" s="312">
        <v>111.39498843</v>
      </c>
      <c r="N38" t="str">
        <f t="shared" si="5"/>
        <v>SlovakiaManufacture of basic pharmaceutical products and pharmaceutical preparations (C21)</v>
      </c>
      <c r="O38" s="11">
        <f>INDEX('Base de dados IHS'!$A$1:$V$676,MATCH($N38,'Base de dados IHS'!$C$1:$C$676,0),MATCH($O$1,'Base de dados IHS'!$A$1:$V$1,0))</f>
        <v>94460.171576160006</v>
      </c>
      <c r="P38" s="11">
        <f>INDEX('Base de dados IHS'!$A$1:$V$676,MATCH($N38,'Base de dados IHS'!$C$1:$C$676,0),MATCH($P$1,'Base de dados IHS'!$A$1:$V$1,0))</f>
        <v>107076.6714533</v>
      </c>
      <c r="Q38" s="131">
        <f>INDEX('Base de dados IHS'!$A$1:$V$676,MATCH($N38,'Base de dados IHS'!$C$1:$C$676,0),MATCH($Q$1,'Base de dados IHS'!$A$1:$V$1,0))</f>
        <v>5.1809910286412689E-4</v>
      </c>
      <c r="R38" s="131">
        <f>INDEX('Base de dados IHS'!$A$1:$V$676,MATCH($N38,'Base de dados IHS'!$C$1:$C$676,0),MATCH($R$1,'Base de dados IHS'!$A$1:$V$1,0))</f>
        <v>6.5380296660167109E-4</v>
      </c>
      <c r="S38" s="131">
        <f>INDEX('Base de dados IHS'!$A$1:$V$676,MATCH($N38,'Base de dados IHS'!$C$1:$C$676,0),MATCH($S$1,'Base de dados IHS'!$A$1:$V$1,0))</f>
        <v>1.357038637375442E-4</v>
      </c>
      <c r="T38" t="str">
        <f>IF(Q38&lt;'Cenario A ranking setor PIB'!$G$100,"N","Y")</f>
        <v>N</v>
      </c>
    </row>
    <row r="39" spans="1:20" hidden="1" x14ac:dyDescent="0.45">
      <c r="A39" s="293" t="s">
        <v>159</v>
      </c>
      <c r="B39" s="297" t="s">
        <v>2</v>
      </c>
      <c r="C39" s="297" t="s">
        <v>958</v>
      </c>
      <c r="D39" s="311">
        <v>131.46621206</v>
      </c>
      <c r="E39" s="311">
        <v>156.50261401</v>
      </c>
      <c r="F39" s="302">
        <f t="shared" si="3"/>
        <v>0.19043982143924265</v>
      </c>
      <c r="G39" s="311">
        <v>154.78313095999999</v>
      </c>
      <c r="H39" s="311">
        <v>156.50261401</v>
      </c>
      <c r="I39" s="302">
        <f t="shared" si="4"/>
        <v>1.1108982221353036E-2</v>
      </c>
      <c r="J39" s="311">
        <v>189.78093365000001</v>
      </c>
      <c r="K39" s="311">
        <v>196.24067353999999</v>
      </c>
      <c r="L39" s="311">
        <v>196.44089233</v>
      </c>
      <c r="M39" s="312">
        <v>199.17705104000001</v>
      </c>
      <c r="N39" t="str">
        <f t="shared" si="5"/>
        <v>KuwaitManufacture of basic pharmaceutical products and pharmaceutical preparations (C21)</v>
      </c>
      <c r="O39" s="11">
        <f>INDEX('Base de dados IHS'!$A$1:$V$676,MATCH($N39,'Base de dados IHS'!$C$1:$C$676,0),MATCH($O$1,'Base de dados IHS'!$A$1:$V$1,0))</f>
        <v>136318.13330372999</v>
      </c>
      <c r="P39" s="11">
        <f>INDEX('Base de dados IHS'!$A$1:$V$676,MATCH($N39,'Base de dados IHS'!$C$1:$C$676,0),MATCH($P$1,'Base de dados IHS'!$A$1:$V$1,0))</f>
        <v>128320.86664452001</v>
      </c>
      <c r="Q39" s="131">
        <f>INDEX('Base de dados IHS'!$A$1:$V$676,MATCH($N39,'Base de dados IHS'!$C$1:$C$676,0),MATCH($Q$1,'Base de dados IHS'!$A$1:$V$1,0))</f>
        <v>1.1354551827314728E-3</v>
      </c>
      <c r="R39" s="131">
        <f>INDEX('Base de dados IHS'!$A$1:$V$676,MATCH($N39,'Base de dados IHS'!$C$1:$C$676,0),MATCH($R$1,'Base de dados IHS'!$A$1:$V$1,0))</f>
        <v>1.219619365909913E-3</v>
      </c>
      <c r="S39" s="131">
        <f>INDEX('Base de dados IHS'!$A$1:$V$676,MATCH($N39,'Base de dados IHS'!$C$1:$C$676,0),MATCH($S$1,'Base de dados IHS'!$A$1:$V$1,0))</f>
        <v>8.4164183178440152E-5</v>
      </c>
      <c r="T39" t="str">
        <f>IF(Q39&lt;'Cenario A ranking setor PIB'!$G$100,"N","Y")</f>
        <v>N</v>
      </c>
    </row>
    <row r="40" spans="1:20" hidden="1" x14ac:dyDescent="0.45">
      <c r="A40" s="293" t="s">
        <v>160</v>
      </c>
      <c r="B40" s="297" t="s">
        <v>2</v>
      </c>
      <c r="C40" s="297" t="s">
        <v>958</v>
      </c>
      <c r="D40" s="311">
        <v>123.02028352000001</v>
      </c>
      <c r="E40" s="311">
        <v>217.80264303999999</v>
      </c>
      <c r="F40" s="302">
        <f t="shared" si="3"/>
        <v>0.77046123458649607</v>
      </c>
      <c r="G40" s="311">
        <v>182.02023567000001</v>
      </c>
      <c r="H40" s="311">
        <v>217.80264303999999</v>
      </c>
      <c r="I40" s="302">
        <f t="shared" si="4"/>
        <v>0.19658477662271001</v>
      </c>
      <c r="J40" s="311">
        <v>241.30276558</v>
      </c>
      <c r="K40" s="311">
        <v>246.49317611000001</v>
      </c>
      <c r="L40" s="311">
        <v>247.96249084999999</v>
      </c>
      <c r="M40" s="312">
        <v>250.63891785000001</v>
      </c>
      <c r="N40" t="str">
        <f t="shared" si="5"/>
        <v>BulgariaManufacture of basic pharmaceutical products and pharmaceutical preparations (C21)</v>
      </c>
      <c r="O40" s="11">
        <f>INDEX('Base de dados IHS'!$A$1:$V$676,MATCH($N40,'Base de dados IHS'!$C$1:$C$676,0),MATCH($O$1,'Base de dados IHS'!$A$1:$V$1,0))</f>
        <v>60854.013563</v>
      </c>
      <c r="P40" s="11">
        <f>INDEX('Base de dados IHS'!$A$1:$V$676,MATCH($N40,'Base de dados IHS'!$C$1:$C$676,0),MATCH($P$1,'Base de dados IHS'!$A$1:$V$1,0))</f>
        <v>70836.911882080007</v>
      </c>
      <c r="Q40" s="131">
        <f>INDEX('Base de dados IHS'!$A$1:$V$676,MATCH($N40,'Base de dados IHS'!$C$1:$C$676,0),MATCH($Q$1,'Base de dados IHS'!$A$1:$V$1,0))</f>
        <v>2.9910966428132288E-3</v>
      </c>
      <c r="R40" s="131">
        <f>INDEX('Base de dados IHS'!$A$1:$V$676,MATCH($N40,'Base de dados IHS'!$C$1:$C$676,0),MATCH($R$1,'Base de dados IHS'!$A$1:$V$1,0))</f>
        <v>3.0747055066794732E-3</v>
      </c>
      <c r="S40" s="131">
        <f>INDEX('Base de dados IHS'!$A$1:$V$676,MATCH($N40,'Base de dados IHS'!$C$1:$C$676,0),MATCH($S$1,'Base de dados IHS'!$A$1:$V$1,0))</f>
        <v>8.360886386624437E-5</v>
      </c>
      <c r="T40" t="str">
        <f>IF(Q40&lt;'Cenario A ranking setor PIB'!$G$100,"N","Y")</f>
        <v>N</v>
      </c>
    </row>
    <row r="41" spans="1:20" hidden="1" x14ac:dyDescent="0.45">
      <c r="A41" s="293" t="s">
        <v>149</v>
      </c>
      <c r="B41" s="297" t="s">
        <v>2</v>
      </c>
      <c r="C41" s="297" t="s">
        <v>958</v>
      </c>
      <c r="D41" s="311">
        <v>575.05578206999996</v>
      </c>
      <c r="E41" s="311">
        <v>615.98209610000004</v>
      </c>
      <c r="F41" s="302">
        <f t="shared" si="3"/>
        <v>7.1169294016451223E-2</v>
      </c>
      <c r="G41" s="311">
        <v>544.92999935</v>
      </c>
      <c r="H41" s="311">
        <v>615.98209610000004</v>
      </c>
      <c r="I41" s="302">
        <f t="shared" si="4"/>
        <v>0.13038756690722098</v>
      </c>
      <c r="J41" s="311">
        <v>517.01949346000004</v>
      </c>
      <c r="K41" s="311">
        <v>643.50733193999997</v>
      </c>
      <c r="L41" s="311">
        <v>829.95932103999996</v>
      </c>
      <c r="M41" s="312">
        <v>1417.33960482</v>
      </c>
      <c r="N41" t="str">
        <f t="shared" si="5"/>
        <v>UkraineManufacture of basic pharmaceutical products and pharmaceutical preparations (C21)</v>
      </c>
      <c r="O41" s="11">
        <f>INDEX('Base de dados IHS'!$A$1:$V$676,MATCH($N41,'Base de dados IHS'!$C$1:$C$676,0),MATCH($O$1,'Base de dados IHS'!$A$1:$V$1,0))</f>
        <v>137743.94890503999</v>
      </c>
      <c r="P41" s="11">
        <f>INDEX('Base de dados IHS'!$A$1:$V$676,MATCH($N41,'Base de dados IHS'!$C$1:$C$676,0),MATCH($P$1,'Base de dados IHS'!$A$1:$V$1,0))</f>
        <v>153275.23415388001</v>
      </c>
      <c r="Q41" s="131">
        <f>INDEX('Base de dados IHS'!$A$1:$V$676,MATCH($N41,'Base de dados IHS'!$C$1:$C$676,0),MATCH($Q$1,'Base de dados IHS'!$A$1:$V$1,0))</f>
        <v>3.956108443832056E-3</v>
      </c>
      <c r="R41" s="131">
        <f>INDEX('Base de dados IHS'!$A$1:$V$676,MATCH($N41,'Base de dados IHS'!$C$1:$C$676,0),MATCH($R$1,'Base de dados IHS'!$A$1:$V$1,0))</f>
        <v>4.0187972929898608E-3</v>
      </c>
      <c r="S41" s="131">
        <f>INDEX('Base de dados IHS'!$A$1:$V$676,MATCH($N41,'Base de dados IHS'!$C$1:$C$676,0),MATCH($S$1,'Base de dados IHS'!$A$1:$V$1,0))</f>
        <v>6.2688849157804816E-5</v>
      </c>
      <c r="T41" t="str">
        <f>IF(Q41&lt;'Cenario A ranking setor PIB'!$G$100,"N","Y")</f>
        <v>N</v>
      </c>
    </row>
    <row r="42" spans="1:20" hidden="1" x14ac:dyDescent="0.45">
      <c r="A42" s="293" t="s">
        <v>174</v>
      </c>
      <c r="B42" s="297" t="s">
        <v>2</v>
      </c>
      <c r="C42" s="297" t="s">
        <v>958</v>
      </c>
      <c r="D42" s="311">
        <v>31.09935295</v>
      </c>
      <c r="E42" s="311">
        <v>48.920808319999999</v>
      </c>
      <c r="F42" s="302">
        <f t="shared" si="3"/>
        <v>0.57304907271390659</v>
      </c>
      <c r="G42" s="311">
        <v>40.17337809</v>
      </c>
      <c r="H42" s="311">
        <v>48.920808319999999</v>
      </c>
      <c r="I42" s="302">
        <f t="shared" si="4"/>
        <v>0.21774196360592879</v>
      </c>
      <c r="J42" s="311">
        <v>62.336642449999999</v>
      </c>
      <c r="K42" s="311">
        <v>75.060734100000005</v>
      </c>
      <c r="L42" s="311">
        <v>85.144102489999995</v>
      </c>
      <c r="M42" s="312">
        <v>110.19270375000001</v>
      </c>
      <c r="N42" t="str">
        <f t="shared" si="5"/>
        <v>Sri LankaManufacture of basic pharmaceutical products and pharmaceutical preparations (C21)</v>
      </c>
      <c r="O42" s="11">
        <f>INDEX('Base de dados IHS'!$A$1:$V$676,MATCH($N42,'Base de dados IHS'!$C$1:$C$676,0),MATCH($O$1,'Base de dados IHS'!$A$1:$V$1,0))</f>
        <v>77969.257644440004</v>
      </c>
      <c r="P42" s="11">
        <f>INDEX('Base de dados IHS'!$A$1:$V$676,MATCH($N42,'Base de dados IHS'!$C$1:$C$676,0),MATCH($P$1,'Base de dados IHS'!$A$1:$V$1,0))</f>
        <v>87884.425158479993</v>
      </c>
      <c r="Q42" s="131">
        <f>INDEX('Base de dados IHS'!$A$1:$V$676,MATCH($N42,'Base de dados IHS'!$C$1:$C$676,0),MATCH($Q$1,'Base de dados IHS'!$A$1:$V$1,0))</f>
        <v>5.1524638432753846E-4</v>
      </c>
      <c r="R42" s="131">
        <f>INDEX('Base de dados IHS'!$A$1:$V$676,MATCH($N42,'Base de dados IHS'!$C$1:$C$676,0),MATCH($R$1,'Base de dados IHS'!$A$1:$V$1,0))</f>
        <v>5.5664935205279218E-4</v>
      </c>
      <c r="S42" s="131">
        <f>INDEX('Base de dados IHS'!$A$1:$V$676,MATCH($N42,'Base de dados IHS'!$C$1:$C$676,0),MATCH($S$1,'Base de dados IHS'!$A$1:$V$1,0))</f>
        <v>4.1402967725253726E-5</v>
      </c>
      <c r="T42" t="str">
        <f>IF(Q42&lt;'Cenario A ranking setor PIB'!$G$100,"N","Y")</f>
        <v>N</v>
      </c>
    </row>
    <row r="43" spans="1:20" hidden="1" x14ac:dyDescent="0.45">
      <c r="A43" s="293" t="s">
        <v>122</v>
      </c>
      <c r="B43" s="297" t="s">
        <v>2</v>
      </c>
      <c r="C43" s="297" t="s">
        <v>958</v>
      </c>
      <c r="D43" s="311">
        <v>451.96893104999998</v>
      </c>
      <c r="E43" s="311">
        <v>782.59396247999996</v>
      </c>
      <c r="F43" s="302">
        <f t="shared" si="3"/>
        <v>0.73152159079143408</v>
      </c>
      <c r="G43" s="311">
        <v>553.58983705000003</v>
      </c>
      <c r="H43" s="311">
        <v>782.59396247999996</v>
      </c>
      <c r="I43" s="302">
        <f t="shared" si="4"/>
        <v>0.41367111551456537</v>
      </c>
      <c r="J43" s="311">
        <v>1108.0452633899999</v>
      </c>
      <c r="K43" s="311">
        <v>1461.17064478</v>
      </c>
      <c r="L43" s="311">
        <v>1774.8771590399999</v>
      </c>
      <c r="M43" s="312">
        <v>2665.1378704200001</v>
      </c>
      <c r="N43" t="str">
        <f t="shared" si="5"/>
        <v>VietnamManufacture of basic pharmaceutical products and pharmaceutical preparations (C21)</v>
      </c>
      <c r="O43" s="11">
        <f>INDEX('Base de dados IHS'!$A$1:$V$676,MATCH($N43,'Base de dados IHS'!$C$1:$C$676,0),MATCH($O$1,'Base de dados IHS'!$A$1:$V$1,0))</f>
        <v>254018.52751081</v>
      </c>
      <c r="P43" s="11">
        <f>INDEX('Base de dados IHS'!$A$1:$V$676,MATCH($N43,'Base de dados IHS'!$C$1:$C$676,0),MATCH($P$1,'Base de dados IHS'!$A$1:$V$1,0))</f>
        <v>352775.42056751001</v>
      </c>
      <c r="Q43" s="131">
        <f>INDEX('Base de dados IHS'!$A$1:$V$676,MATCH($N43,'Base de dados IHS'!$C$1:$C$676,0),MATCH($Q$1,'Base de dados IHS'!$A$1:$V$1,0))</f>
        <v>2.1793285807722882E-3</v>
      </c>
      <c r="R43" s="131">
        <f>INDEX('Base de dados IHS'!$A$1:$V$676,MATCH($N43,'Base de dados IHS'!$C$1:$C$676,0),MATCH($R$1,'Base de dados IHS'!$A$1:$V$1,0))</f>
        <v>2.2183914095291577E-3</v>
      </c>
      <c r="S43" s="131">
        <f>INDEX('Base de dados IHS'!$A$1:$V$676,MATCH($N43,'Base de dados IHS'!$C$1:$C$676,0),MATCH($S$1,'Base de dados IHS'!$A$1:$V$1,0))</f>
        <v>3.9062828756869419E-5</v>
      </c>
      <c r="T43" t="str">
        <f>IF(Q43&lt;'Cenario A ranking setor PIB'!$G$100,"N","Y")</f>
        <v>N</v>
      </c>
    </row>
    <row r="44" spans="1:20" hidden="1" x14ac:dyDescent="0.45">
      <c r="A44" s="293" t="s">
        <v>153</v>
      </c>
      <c r="B44" s="297" t="s">
        <v>2</v>
      </c>
      <c r="C44" s="297" t="s">
        <v>958</v>
      </c>
      <c r="D44" s="311">
        <v>21.392817560000001</v>
      </c>
      <c r="E44" s="311">
        <v>52.65971751</v>
      </c>
      <c r="F44" s="302">
        <f t="shared" si="3"/>
        <v>1.4615606318478789</v>
      </c>
      <c r="G44" s="311">
        <v>46.945610709999997</v>
      </c>
      <c r="H44" s="311">
        <v>52.65971751</v>
      </c>
      <c r="I44" s="302">
        <f t="shared" si="4"/>
        <v>0.1217175943305564</v>
      </c>
      <c r="J44" s="311">
        <v>58.031781100000003</v>
      </c>
      <c r="K44" s="311">
        <v>62.799724329999997</v>
      </c>
      <c r="L44" s="311">
        <v>65.085493510000006</v>
      </c>
      <c r="M44" s="312">
        <v>71.034271939999996</v>
      </c>
      <c r="N44" t="str">
        <f t="shared" si="5"/>
        <v>OmanManufacture of basic pharmaceutical products and pharmaceutical preparations (C21)</v>
      </c>
      <c r="O44" s="11">
        <f>INDEX('Base de dados IHS'!$A$1:$V$676,MATCH($N44,'Base de dados IHS'!$C$1:$C$676,0),MATCH($O$1,'Base de dados IHS'!$A$1:$V$1,0))</f>
        <v>83456.391863790006</v>
      </c>
      <c r="P44" s="11">
        <f>INDEX('Base de dados IHS'!$A$1:$V$676,MATCH($N44,'Base de dados IHS'!$C$1:$C$676,0),MATCH($P$1,'Base de dados IHS'!$A$1:$V$1,0))</f>
        <v>87715.792114070005</v>
      </c>
      <c r="Q44" s="131">
        <f>INDEX('Base de dados IHS'!$A$1:$V$676,MATCH($N44,'Base de dados IHS'!$C$1:$C$676,0),MATCH($Q$1,'Base de dados IHS'!$A$1:$V$1,0))</f>
        <v>5.6251665883927003E-4</v>
      </c>
      <c r="R44" s="131">
        <f>INDEX('Base de dados IHS'!$A$1:$V$676,MATCH($N44,'Base de dados IHS'!$C$1:$C$676,0),MATCH($R$1,'Base de dados IHS'!$A$1:$V$1,0))</f>
        <v>6.0034477533439667E-4</v>
      </c>
      <c r="S44" s="131">
        <f>INDEX('Base de dados IHS'!$A$1:$V$676,MATCH($N44,'Base de dados IHS'!$C$1:$C$676,0),MATCH($S$1,'Base de dados IHS'!$A$1:$V$1,0))</f>
        <v>3.7828116495126646E-5</v>
      </c>
      <c r="T44" t="str">
        <f>IF(Q44&lt;'Cenario A ranking setor PIB'!$G$100,"N","Y")</f>
        <v>N</v>
      </c>
    </row>
    <row r="45" spans="1:20" hidden="1" x14ac:dyDescent="0.45">
      <c r="A45" s="293" t="s">
        <v>171</v>
      </c>
      <c r="B45" s="297" t="s">
        <v>2</v>
      </c>
      <c r="C45" s="297" t="s">
        <v>958</v>
      </c>
      <c r="D45" s="311">
        <v>16.882146729999999</v>
      </c>
      <c r="E45" s="311">
        <v>27.735354910000002</v>
      </c>
      <c r="F45" s="302">
        <f t="shared" si="3"/>
        <v>0.64288081092871785</v>
      </c>
      <c r="G45" s="311">
        <v>21.739225430000001</v>
      </c>
      <c r="H45" s="311">
        <v>27.735354910000002</v>
      </c>
      <c r="I45" s="302">
        <f t="shared" si="4"/>
        <v>0.27582075080399959</v>
      </c>
      <c r="J45" s="311">
        <v>36.098338040000002</v>
      </c>
      <c r="K45" s="311">
        <v>43.028156379999999</v>
      </c>
      <c r="L45" s="311">
        <v>47.542627250000002</v>
      </c>
      <c r="M45" s="312">
        <v>59.032760879999998</v>
      </c>
      <c r="N45" t="str">
        <f t="shared" si="5"/>
        <v>CameroonManufacture of basic pharmaceutical products and pharmaceutical preparations (C21)</v>
      </c>
      <c r="O45" s="11">
        <f>INDEX('Base de dados IHS'!$A$1:$V$676,MATCH($N45,'Base de dados IHS'!$C$1:$C$676,0),MATCH($O$1,'Base de dados IHS'!$A$1:$V$1,0))</f>
        <v>34069.891642009999</v>
      </c>
      <c r="P45" s="11">
        <f>INDEX('Base de dados IHS'!$A$1:$V$676,MATCH($N45,'Base de dados IHS'!$C$1:$C$676,0),MATCH($P$1,'Base de dados IHS'!$A$1:$V$1,0))</f>
        <v>41316.84413338</v>
      </c>
      <c r="Q45" s="131">
        <f>INDEX('Base de dados IHS'!$A$1:$V$676,MATCH($N45,'Base de dados IHS'!$C$1:$C$676,0),MATCH($Q$1,'Base de dados IHS'!$A$1:$V$1,0))</f>
        <v>6.3807732817072933E-4</v>
      </c>
      <c r="R45" s="131">
        <f>INDEX('Base de dados IHS'!$A$1:$V$676,MATCH($N45,'Base de dados IHS'!$C$1:$C$676,0),MATCH($R$1,'Base de dados IHS'!$A$1:$V$1,0))</f>
        <v>6.7128444806830074E-4</v>
      </c>
      <c r="S45" s="131">
        <f>INDEX('Base de dados IHS'!$A$1:$V$676,MATCH($N45,'Base de dados IHS'!$C$1:$C$676,0),MATCH($S$1,'Base de dados IHS'!$A$1:$V$1,0))</f>
        <v>3.3207119897571413E-5</v>
      </c>
      <c r="T45" t="str">
        <f>IF(Q45&lt;'Cenario A ranking setor PIB'!$G$100,"N","Y")</f>
        <v>N</v>
      </c>
    </row>
    <row r="46" spans="1:20" hidden="1" x14ac:dyDescent="0.45">
      <c r="A46" s="293" t="s">
        <v>143</v>
      </c>
      <c r="B46" s="297" t="s">
        <v>2</v>
      </c>
      <c r="C46" s="297" t="s">
        <v>958</v>
      </c>
      <c r="D46" s="311">
        <v>92.211561239999995</v>
      </c>
      <c r="E46" s="311">
        <v>127.11346177</v>
      </c>
      <c r="F46" s="302">
        <f t="shared" si="3"/>
        <v>0.37849809785955646</v>
      </c>
      <c r="G46" s="311">
        <v>107.05911977</v>
      </c>
      <c r="H46" s="311">
        <v>127.11346177</v>
      </c>
      <c r="I46" s="302">
        <f t="shared" si="4"/>
        <v>0.18732025859248291</v>
      </c>
      <c r="J46" s="311">
        <v>357.07983360999998</v>
      </c>
      <c r="K46" s="311">
        <v>398.24527333999998</v>
      </c>
      <c r="L46" s="311">
        <v>427.79728792999998</v>
      </c>
      <c r="M46" s="312">
        <v>499.17519623999999</v>
      </c>
      <c r="N46" t="str">
        <f t="shared" si="5"/>
        <v>United Arab EmiratesManufacture of basic pharmaceutical products and pharmaceutical preparations (C21)</v>
      </c>
      <c r="O46" s="11">
        <f>INDEX('Base de dados IHS'!$A$1:$V$676,MATCH($N46,'Base de dados IHS'!$C$1:$C$676,0),MATCH($O$1,'Base de dados IHS'!$A$1:$V$1,0))</f>
        <v>383753.13090967003</v>
      </c>
      <c r="P46" s="11">
        <f>INDEX('Base de dados IHS'!$A$1:$V$676,MATCH($N46,'Base de dados IHS'!$C$1:$C$676,0),MATCH($P$1,'Base de dados IHS'!$A$1:$V$1,0))</f>
        <v>414599.77007557999</v>
      </c>
      <c r="Q46" s="131">
        <f>INDEX('Base de dados IHS'!$A$1:$V$676,MATCH($N46,'Base de dados IHS'!$C$1:$C$676,0),MATCH($Q$1,'Base de dados IHS'!$A$1:$V$1,0))</f>
        <v>2.789791434827412E-4</v>
      </c>
      <c r="R46" s="131">
        <f>INDEX('Base de dados IHS'!$A$1:$V$676,MATCH($N46,'Base de dados IHS'!$C$1:$C$676,0),MATCH($R$1,'Base de dados IHS'!$A$1:$V$1,0))</f>
        <v>3.0659317960265076E-4</v>
      </c>
      <c r="S46" s="131">
        <f>INDEX('Base de dados IHS'!$A$1:$V$676,MATCH($N46,'Base de dados IHS'!$C$1:$C$676,0),MATCH($S$1,'Base de dados IHS'!$A$1:$V$1,0))</f>
        <v>2.761403611990955E-5</v>
      </c>
      <c r="T46" t="str">
        <f>IF(Q46&lt;'Cenario A ranking setor PIB'!$G$100,"N","Y")</f>
        <v>N</v>
      </c>
    </row>
    <row r="47" spans="1:20" hidden="1" x14ac:dyDescent="0.45">
      <c r="A47" s="293" t="s">
        <v>102</v>
      </c>
      <c r="B47" s="297" t="s">
        <v>2</v>
      </c>
      <c r="C47" s="297" t="s">
        <v>958</v>
      </c>
      <c r="D47" s="311">
        <v>68.022890360000005</v>
      </c>
      <c r="E47" s="311">
        <v>221.57414919000001</v>
      </c>
      <c r="F47" s="302">
        <f t="shared" si="3"/>
        <v>2.257346872756437</v>
      </c>
      <c r="G47" s="311">
        <v>199.72740372999999</v>
      </c>
      <c r="H47" s="311">
        <v>221.57414919000001</v>
      </c>
      <c r="I47" s="302">
        <f t="shared" si="4"/>
        <v>0.10938281403554106</v>
      </c>
      <c r="J47" s="311">
        <v>266.90866877000002</v>
      </c>
      <c r="K47" s="311">
        <v>307.03778738</v>
      </c>
      <c r="L47" s="311">
        <v>342.12051861999998</v>
      </c>
      <c r="M47" s="312">
        <v>428.13574967</v>
      </c>
      <c r="N47" t="str">
        <f t="shared" si="5"/>
        <v>NigeriaManufacture of basic pharmaceutical products and pharmaceutical preparations (C21)</v>
      </c>
      <c r="O47" s="11">
        <f>INDEX('Base de dados IHS'!$A$1:$V$676,MATCH($N47,'Base de dados IHS'!$C$1:$C$676,0),MATCH($O$1,'Base de dados IHS'!$A$1:$V$1,0))</f>
        <v>460034.71302222001</v>
      </c>
      <c r="P47" s="11">
        <f>INDEX('Base de dados IHS'!$A$1:$V$676,MATCH($N47,'Base de dados IHS'!$C$1:$C$676,0),MATCH($P$1,'Base de dados IHS'!$A$1:$V$1,0))</f>
        <v>483780.49839321</v>
      </c>
      <c r="Q47" s="131">
        <f>INDEX('Base de dados IHS'!$A$1:$V$676,MATCH($N47,'Base de dados IHS'!$C$1:$C$676,0),MATCH($Q$1,'Base de dados IHS'!$A$1:$V$1,0))</f>
        <v>4.3415724526064844E-4</v>
      </c>
      <c r="R47" s="131">
        <f>INDEX('Base de dados IHS'!$A$1:$V$676,MATCH($N47,'Base de dados IHS'!$C$1:$C$676,0),MATCH($R$1,'Base de dados IHS'!$A$1:$V$1,0))</f>
        <v>4.5800554161632958E-4</v>
      </c>
      <c r="S47" s="131">
        <f>INDEX('Base de dados IHS'!$A$1:$V$676,MATCH($N47,'Base de dados IHS'!$C$1:$C$676,0),MATCH($S$1,'Base de dados IHS'!$A$1:$V$1,0))</f>
        <v>2.3848296355681131E-5</v>
      </c>
      <c r="T47" t="str">
        <f>IF(Q47&lt;'Cenario A ranking setor PIB'!$G$100,"N","Y")</f>
        <v>N</v>
      </c>
    </row>
    <row r="48" spans="1:20" hidden="1" x14ac:dyDescent="0.45">
      <c r="A48" s="293" t="s">
        <v>148</v>
      </c>
      <c r="B48" s="297" t="s">
        <v>2</v>
      </c>
      <c r="C48" s="297" t="s">
        <v>958</v>
      </c>
      <c r="D48" s="311">
        <v>0.91321856000000001</v>
      </c>
      <c r="E48" s="311">
        <v>1.0623265099999999</v>
      </c>
      <c r="F48" s="302">
        <f t="shared" si="3"/>
        <v>0.16327739769108485</v>
      </c>
      <c r="G48" s="311">
        <v>0.97314590000000001</v>
      </c>
      <c r="H48" s="311">
        <v>1.0623265099999999</v>
      </c>
      <c r="I48" s="302">
        <f t="shared" si="4"/>
        <v>9.1641561661000459E-2</v>
      </c>
      <c r="J48" s="311">
        <v>1.18862373</v>
      </c>
      <c r="K48" s="311">
        <v>1.24512896</v>
      </c>
      <c r="L48" s="311">
        <v>1.2921077700000001</v>
      </c>
      <c r="M48" s="312">
        <v>1.39199585</v>
      </c>
      <c r="N48" t="str">
        <f t="shared" si="5"/>
        <v>BahrainManufacture of basic pharmaceutical products and pharmaceutical preparations (C21)</v>
      </c>
      <c r="O48" s="11">
        <f>INDEX('Base de dados IHS'!$A$1:$V$676,MATCH($N48,'Base de dados IHS'!$C$1:$C$676,0),MATCH($O$1,'Base de dados IHS'!$A$1:$V$1,0))</f>
        <v>33332.328188890002</v>
      </c>
      <c r="P48" s="11">
        <f>INDEX('Base de dados IHS'!$A$1:$V$676,MATCH($N48,'Base de dados IHS'!$C$1:$C$676,0),MATCH($P$1,'Base de dados IHS'!$A$1:$V$1,0))</f>
        <v>36767.801730239997</v>
      </c>
      <c r="Q48" s="131">
        <f>INDEX('Base de dados IHS'!$A$1:$V$676,MATCH($N48,'Base de dados IHS'!$C$1:$C$676,0),MATCH($Q$1,'Base de dados IHS'!$A$1:$V$1,0))</f>
        <v>2.9195257363521317E-5</v>
      </c>
      <c r="R48" s="131">
        <f>INDEX('Base de dados IHS'!$A$1:$V$676,MATCH($N48,'Base de dados IHS'!$C$1:$C$676,0),MATCH($R$1,'Base de dados IHS'!$A$1:$V$1,0))</f>
        <v>2.889284809013426E-5</v>
      </c>
      <c r="S48" s="131">
        <f>INDEX('Base de dados IHS'!$A$1:$V$676,MATCH($N48,'Base de dados IHS'!$C$1:$C$676,0),MATCH($S$1,'Base de dados IHS'!$A$1:$V$1,0))</f>
        <v>-3.0240927338705671E-7</v>
      </c>
      <c r="T48" t="str">
        <f>IF(Q48&lt;'Cenario A ranking setor PIB'!$G$100,"N","Y")</f>
        <v>N</v>
      </c>
    </row>
    <row r="49" spans="1:20" hidden="1" x14ac:dyDescent="0.45">
      <c r="A49" s="293" t="s">
        <v>155</v>
      </c>
      <c r="B49" s="297" t="s">
        <v>2</v>
      </c>
      <c r="C49" s="297" t="s">
        <v>958</v>
      </c>
      <c r="D49" s="311">
        <v>8.0698904999999996</v>
      </c>
      <c r="E49" s="311">
        <v>7.9648584199999997</v>
      </c>
      <c r="F49" s="302">
        <f t="shared" si="3"/>
        <v>-1.3015304234921143E-2</v>
      </c>
      <c r="G49" s="311">
        <v>8.6297102199999998</v>
      </c>
      <c r="H49" s="311">
        <v>7.9648584199999997</v>
      </c>
      <c r="I49" s="302">
        <f t="shared" si="4"/>
        <v>-7.7042192964852596E-2</v>
      </c>
      <c r="J49" s="311">
        <v>9.1453848799999999</v>
      </c>
      <c r="K49" s="311">
        <v>10.07279471</v>
      </c>
      <c r="L49" s="311">
        <v>10.427115089999999</v>
      </c>
      <c r="M49" s="312">
        <v>11.092210939999999</v>
      </c>
      <c r="N49" t="str">
        <f t="shared" si="5"/>
        <v>QatarManufacture of basic pharmaceutical products and pharmaceutical preparations (C21)</v>
      </c>
      <c r="O49" s="11">
        <f>INDEX('Base de dados IHS'!$A$1:$V$676,MATCH($N49,'Base de dados IHS'!$C$1:$C$676,0),MATCH($O$1,'Base de dados IHS'!$A$1:$V$1,0))</f>
        <v>170576.82347613</v>
      </c>
      <c r="P49" s="11">
        <f>INDEX('Base de dados IHS'!$A$1:$V$676,MATCH($N49,'Base de dados IHS'!$C$1:$C$676,0),MATCH($P$1,'Base de dados IHS'!$A$1:$V$1,0))</f>
        <v>172715.39534024999</v>
      </c>
      <c r="Q49" s="131">
        <f>INDEX('Base de dados IHS'!$A$1:$V$676,MATCH($N49,'Base de dados IHS'!$C$1:$C$676,0),MATCH($Q$1,'Base de dados IHS'!$A$1:$V$1,0))</f>
        <v>5.0591340864121641E-5</v>
      </c>
      <c r="R49" s="131">
        <f>INDEX('Base de dados IHS'!$A$1:$V$676,MATCH($N49,'Base de dados IHS'!$C$1:$C$676,0),MATCH($R$1,'Base de dados IHS'!$A$1:$V$1,0))</f>
        <v>4.6115509299615117E-5</v>
      </c>
      <c r="S49" s="131">
        <f>INDEX('Base de dados IHS'!$A$1:$V$676,MATCH($N49,'Base de dados IHS'!$C$1:$C$676,0),MATCH($S$1,'Base de dados IHS'!$A$1:$V$1,0))</f>
        <v>-4.4758315645065241E-6</v>
      </c>
      <c r="T49" t="str">
        <f>IF(Q49&lt;'Cenario A ranking setor PIB'!$G$100,"N","Y")</f>
        <v>N</v>
      </c>
    </row>
    <row r="50" spans="1:20" hidden="1" x14ac:dyDescent="0.45">
      <c r="A50" s="293" t="s">
        <v>105</v>
      </c>
      <c r="B50" s="297" t="s">
        <v>2</v>
      </c>
      <c r="C50" s="297" t="s">
        <v>958</v>
      </c>
      <c r="D50" s="311">
        <v>275.51125251000002</v>
      </c>
      <c r="E50" s="311">
        <v>334.02770158999999</v>
      </c>
      <c r="F50" s="302">
        <f t="shared" si="3"/>
        <v>0.21239222916267653</v>
      </c>
      <c r="G50" s="311">
        <v>323.14350123999998</v>
      </c>
      <c r="H50" s="311">
        <v>334.02770158999999</v>
      </c>
      <c r="I50" s="302">
        <f t="shared" si="4"/>
        <v>3.3682250480774112E-2</v>
      </c>
      <c r="J50" s="311">
        <v>386.95669464000002</v>
      </c>
      <c r="K50" s="311">
        <v>423.19845660999999</v>
      </c>
      <c r="L50" s="311">
        <v>470.07298895999998</v>
      </c>
      <c r="M50" s="312">
        <v>558.23226412999998</v>
      </c>
      <c r="N50" t="str">
        <f t="shared" si="5"/>
        <v>Saudi ArabiaManufacture of basic pharmaceutical products and pharmaceutical preparations (C21)</v>
      </c>
      <c r="O50" s="11">
        <f>INDEX('Base de dados IHS'!$A$1:$V$676,MATCH($N50,'Base de dados IHS'!$C$1:$C$676,0),MATCH($O$1,'Base de dados IHS'!$A$1:$V$1,0))</f>
        <v>791157.39281293005</v>
      </c>
      <c r="P50" s="11">
        <f>INDEX('Base de dados IHS'!$A$1:$V$676,MATCH($N50,'Base de dados IHS'!$C$1:$C$676,0),MATCH($P$1,'Base de dados IHS'!$A$1:$V$1,0))</f>
        <v>836861.61444072996</v>
      </c>
      <c r="Q50" s="131">
        <f>INDEX('Base de dados IHS'!$A$1:$V$676,MATCH($N50,'Base de dados IHS'!$C$1:$C$676,0),MATCH($Q$1,'Base de dados IHS'!$A$1:$V$1,0))</f>
        <v>4.0844401401733167E-4</v>
      </c>
      <c r="R50" s="131">
        <f>INDEX('Base de dados IHS'!$A$1:$V$676,MATCH($N50,'Base de dados IHS'!$C$1:$C$676,0),MATCH($R$1,'Base de dados IHS'!$A$1:$V$1,0))</f>
        <v>3.9914329421505236E-4</v>
      </c>
      <c r="S50" s="131">
        <f>INDEX('Base de dados IHS'!$A$1:$V$676,MATCH($N50,'Base de dados IHS'!$C$1:$C$676,0),MATCH($S$1,'Base de dados IHS'!$A$1:$V$1,0))</f>
        <v>-9.3007198022793136E-6</v>
      </c>
      <c r="T50" t="str">
        <f>IF(Q50&lt;'Cenario A ranking setor PIB'!$G$100,"N","Y")</f>
        <v>N</v>
      </c>
    </row>
    <row r="51" spans="1:20" hidden="1" x14ac:dyDescent="0.45">
      <c r="A51" s="293" t="s">
        <v>165</v>
      </c>
      <c r="B51" s="297" t="s">
        <v>2</v>
      </c>
      <c r="C51" s="297" t="s">
        <v>958</v>
      </c>
      <c r="D51" s="311">
        <v>95.175542210000003</v>
      </c>
      <c r="E51" s="311">
        <v>119.24184533</v>
      </c>
      <c r="F51" s="302">
        <f t="shared" si="3"/>
        <v>0.25286226441346593</v>
      </c>
      <c r="G51" s="311">
        <v>122.80345603000001</v>
      </c>
      <c r="H51" s="311">
        <v>119.24184533</v>
      </c>
      <c r="I51" s="302">
        <f t="shared" si="4"/>
        <v>-2.9002528227950908E-2</v>
      </c>
      <c r="J51" s="311">
        <v>133.06071811000001</v>
      </c>
      <c r="K51" s="311">
        <v>145.60048673</v>
      </c>
      <c r="L51" s="311">
        <v>155.31333455999999</v>
      </c>
      <c r="M51" s="312">
        <v>179.89832283000001</v>
      </c>
      <c r="N51" t="str">
        <f t="shared" si="5"/>
        <v>EcuadorManufacture of basic pharmaceutical products and pharmaceutical preparations (C21)</v>
      </c>
      <c r="O51" s="11">
        <f>INDEX('Base de dados IHS'!$A$1:$V$676,MATCH($N51,'Base de dados IHS'!$C$1:$C$676,0),MATCH($O$1,'Base de dados IHS'!$A$1:$V$1,0))</f>
        <v>105544.34131757999</v>
      </c>
      <c r="P51" s="11">
        <f>INDEX('Base de dados IHS'!$A$1:$V$676,MATCH($N51,'Base de dados IHS'!$C$1:$C$676,0),MATCH($P$1,'Base de dados IHS'!$A$1:$V$1,0))</f>
        <v>103911.06087433999</v>
      </c>
      <c r="Q51" s="131">
        <f>INDEX('Base de dados IHS'!$A$1:$V$676,MATCH($N51,'Base de dados IHS'!$C$1:$C$676,0),MATCH($Q$1,'Base de dados IHS'!$A$1:$V$1,0))</f>
        <v>1.1635247754352629E-3</v>
      </c>
      <c r="R51" s="131">
        <f>INDEX('Base de dados IHS'!$A$1:$V$676,MATCH($N51,'Base de dados IHS'!$C$1:$C$676,0),MATCH($R$1,'Base de dados IHS'!$A$1:$V$1,0))</f>
        <v>1.1475375607434091E-3</v>
      </c>
      <c r="S51" s="131">
        <f>INDEX('Base de dados IHS'!$A$1:$V$676,MATCH($N51,'Base de dados IHS'!$C$1:$C$676,0),MATCH($S$1,'Base de dados IHS'!$A$1:$V$1,0))</f>
        <v>-1.598721469185378E-5</v>
      </c>
      <c r="T51" t="str">
        <f>IF(Q51&lt;'Cenario A ranking setor PIB'!$G$100,"N","Y")</f>
        <v>N</v>
      </c>
    </row>
    <row r="52" spans="1:20" hidden="1" x14ac:dyDescent="0.45">
      <c r="A52" s="293" t="s">
        <v>150</v>
      </c>
      <c r="B52" s="297" t="s">
        <v>2</v>
      </c>
      <c r="C52" s="297" t="s">
        <v>958</v>
      </c>
      <c r="D52" s="311">
        <v>127.21536551</v>
      </c>
      <c r="E52" s="311">
        <v>236.38192527999999</v>
      </c>
      <c r="F52" s="302">
        <f t="shared" si="3"/>
        <v>0.85812401145377959</v>
      </c>
      <c r="G52" s="311">
        <v>196.89696863</v>
      </c>
      <c r="H52" s="311">
        <v>236.38192527999999</v>
      </c>
      <c r="I52" s="302">
        <f t="shared" si="4"/>
        <v>0.20053613280455496</v>
      </c>
      <c r="J52" s="311">
        <v>304.89749409000001</v>
      </c>
      <c r="K52" s="311">
        <v>360.23961161</v>
      </c>
      <c r="L52" s="311">
        <v>403.98370853</v>
      </c>
      <c r="M52" s="312">
        <v>514.67151687</v>
      </c>
      <c r="N52" t="str">
        <f t="shared" si="5"/>
        <v>PhilippinesManufacture of basic pharmaceutical products and pharmaceutical preparations (C21)</v>
      </c>
      <c r="O52" s="11">
        <f>INDEX('Base de dados IHS'!$A$1:$V$676,MATCH($N52,'Base de dados IHS'!$C$1:$C$676,0),MATCH($O$1,'Base de dados IHS'!$A$1:$V$1,0))</f>
        <v>291518.00825125998</v>
      </c>
      <c r="P52" s="11">
        <f>INDEX('Base de dados IHS'!$A$1:$V$676,MATCH($N52,'Base de dados IHS'!$C$1:$C$676,0),MATCH($P$1,'Base de dados IHS'!$A$1:$V$1,0))</f>
        <v>360513.15606205998</v>
      </c>
      <c r="Q52" s="131">
        <f>INDEX('Base de dados IHS'!$A$1:$V$676,MATCH($N52,'Base de dados IHS'!$C$1:$C$676,0),MATCH($Q$1,'Base de dados IHS'!$A$1:$V$1,0))</f>
        <v>6.7541957291466571E-4</v>
      </c>
      <c r="R52" s="131">
        <f>INDEX('Base de dados IHS'!$A$1:$V$676,MATCH($N52,'Base de dados IHS'!$C$1:$C$676,0),MATCH($R$1,'Base de dados IHS'!$A$1:$V$1,0))</f>
        <v>6.5568182826401041E-4</v>
      </c>
      <c r="S52" s="131">
        <f>INDEX('Base de dados IHS'!$A$1:$V$676,MATCH($N52,'Base de dados IHS'!$C$1:$C$676,0),MATCH($S$1,'Base de dados IHS'!$A$1:$V$1,0))</f>
        <v>-1.9737744650655297E-5</v>
      </c>
      <c r="T52" t="str">
        <f>IF(Q52&lt;'Cenario A ranking setor PIB'!$G$100,"N","Y")</f>
        <v>N</v>
      </c>
    </row>
    <row r="53" spans="1:20" hidden="1" x14ac:dyDescent="0.45">
      <c r="A53" s="293" t="s">
        <v>167</v>
      </c>
      <c r="B53" s="297" t="s">
        <v>2</v>
      </c>
      <c r="C53" s="297" t="s">
        <v>958</v>
      </c>
      <c r="D53" s="311">
        <v>98.837253219999994</v>
      </c>
      <c r="E53" s="311">
        <v>98.786354160000002</v>
      </c>
      <c r="F53" s="302">
        <f t="shared" si="3"/>
        <v>-5.1497849587844868E-4</v>
      </c>
      <c r="G53" s="311">
        <v>99.941691899999995</v>
      </c>
      <c r="H53" s="311">
        <v>98.786354160000002</v>
      </c>
      <c r="I53" s="302">
        <f t="shared" si="4"/>
        <v>-1.1560117885096477E-2</v>
      </c>
      <c r="J53" s="311">
        <v>114.37581444</v>
      </c>
      <c r="K53" s="311">
        <v>112.55558123</v>
      </c>
      <c r="L53" s="311">
        <v>110.94912552</v>
      </c>
      <c r="M53" s="312">
        <v>109.35896167999999</v>
      </c>
      <c r="N53" t="str">
        <f t="shared" si="5"/>
        <v>Hong Kong SARManufacture of basic pharmaceutical products and pharmaceutical preparations (C21)</v>
      </c>
      <c r="O53" s="11">
        <f>INDEX('Base de dados IHS'!$A$1:$V$676,MATCH($N53,'Base de dados IHS'!$C$1:$C$676,0),MATCH($O$1,'Base de dados IHS'!$A$1:$V$1,0))</f>
        <v>338559.97086627001</v>
      </c>
      <c r="P53" s="11">
        <f>INDEX('Base de dados IHS'!$A$1:$V$676,MATCH($N53,'Base de dados IHS'!$C$1:$C$676,0),MATCH($P$1,'Base de dados IHS'!$A$1:$V$1,0))</f>
        <v>361197.76240428002</v>
      </c>
      <c r="Q53" s="131">
        <f>INDEX('Base de dados IHS'!$A$1:$V$676,MATCH($N53,'Base de dados IHS'!$C$1:$C$676,0),MATCH($Q$1,'Base de dados IHS'!$A$1:$V$1,0))</f>
        <v>2.9519642160967877E-4</v>
      </c>
      <c r="R53" s="131">
        <f>INDEX('Base de dados IHS'!$A$1:$V$676,MATCH($N53,'Base de dados IHS'!$C$1:$C$676,0),MATCH($R$1,'Base de dados IHS'!$A$1:$V$1,0))</f>
        <v>2.7349658398334928E-4</v>
      </c>
      <c r="S53" s="131">
        <f>INDEX('Base de dados IHS'!$A$1:$V$676,MATCH($N53,'Base de dados IHS'!$C$1:$C$676,0),MATCH($S$1,'Base de dados IHS'!$A$1:$V$1,0))</f>
        <v>-2.1699837626329487E-5</v>
      </c>
      <c r="T53" t="str">
        <f>IF(Q53&lt;'Cenario A ranking setor PIB'!$G$100,"N","Y")</f>
        <v>N</v>
      </c>
    </row>
    <row r="54" spans="1:20" hidden="1" x14ac:dyDescent="0.45">
      <c r="A54" s="293" t="s">
        <v>147</v>
      </c>
      <c r="B54" s="297" t="s">
        <v>2</v>
      </c>
      <c r="C54" s="297" t="s">
        <v>958</v>
      </c>
      <c r="D54" s="311">
        <v>315.68381904</v>
      </c>
      <c r="E54" s="311">
        <v>321.00343084999997</v>
      </c>
      <c r="F54" s="302">
        <f t="shared" si="3"/>
        <v>1.6851075313828234E-2</v>
      </c>
      <c r="G54" s="311">
        <v>285.38750906000001</v>
      </c>
      <c r="H54" s="311">
        <v>321.00343084999997</v>
      </c>
      <c r="I54" s="302">
        <f t="shared" si="4"/>
        <v>0.12479846054689125</v>
      </c>
      <c r="J54" s="311">
        <v>360.94346488999997</v>
      </c>
      <c r="K54" s="311">
        <v>405.89609008999997</v>
      </c>
      <c r="L54" s="311">
        <v>444.89064304999999</v>
      </c>
      <c r="M54" s="312">
        <v>554.56539229999998</v>
      </c>
      <c r="N54" t="str">
        <f t="shared" si="5"/>
        <v>PeruManufacture of basic pharmaceutical products and pharmaceutical preparations (C21)</v>
      </c>
      <c r="O54" s="11">
        <f>INDEX('Base de dados IHS'!$A$1:$V$676,MATCH($N54,'Base de dados IHS'!$C$1:$C$676,0),MATCH($O$1,'Base de dados IHS'!$A$1:$V$1,0))</f>
        <v>205342.67167914001</v>
      </c>
      <c r="P54" s="11">
        <f>INDEX('Base de dados IHS'!$A$1:$V$676,MATCH($N54,'Base de dados IHS'!$C$1:$C$676,0),MATCH($P$1,'Base de dados IHS'!$A$1:$V$1,0))</f>
        <v>235110.76142220001</v>
      </c>
      <c r="Q54" s="131">
        <f>INDEX('Base de dados IHS'!$A$1:$V$676,MATCH($N54,'Base de dados IHS'!$C$1:$C$676,0),MATCH($Q$1,'Base de dados IHS'!$A$1:$V$1,0))</f>
        <v>1.3898110252794156E-3</v>
      </c>
      <c r="R54" s="131">
        <f>INDEX('Base de dados IHS'!$A$1:$V$676,MATCH($N54,'Base de dados IHS'!$C$1:$C$676,0),MATCH($R$1,'Base de dados IHS'!$A$1:$V$1,0))</f>
        <v>1.3653285324254395E-3</v>
      </c>
      <c r="S54" s="131">
        <f>INDEX('Base de dados IHS'!$A$1:$V$676,MATCH($N54,'Base de dados IHS'!$C$1:$C$676,0),MATCH($S$1,'Base de dados IHS'!$A$1:$V$1,0))</f>
        <v>-2.4482492853976096E-5</v>
      </c>
      <c r="T54" t="str">
        <f>IF(Q54&lt;'Cenario A ranking setor PIB'!$G$100,"N","Y")</f>
        <v>N</v>
      </c>
    </row>
    <row r="55" spans="1:20" hidden="1" x14ac:dyDescent="0.45">
      <c r="A55" s="293" t="s">
        <v>152</v>
      </c>
      <c r="B55" s="297" t="s">
        <v>2</v>
      </c>
      <c r="C55" s="297" t="s">
        <v>958</v>
      </c>
      <c r="D55" s="311">
        <v>1096.68314487</v>
      </c>
      <c r="E55" s="311">
        <v>1389.24959988</v>
      </c>
      <c r="F55" s="302">
        <f t="shared" si="3"/>
        <v>0.26677391403209771</v>
      </c>
      <c r="G55" s="311">
        <v>1242.25986048</v>
      </c>
      <c r="H55" s="311">
        <v>1389.24959988</v>
      </c>
      <c r="I55" s="302">
        <f t="shared" si="4"/>
        <v>0.11832446984417921</v>
      </c>
      <c r="J55" s="311">
        <v>1620.8282295199999</v>
      </c>
      <c r="K55" s="311">
        <v>1812.98341325</v>
      </c>
      <c r="L55" s="311">
        <v>1974.6689062099999</v>
      </c>
      <c r="M55" s="312">
        <v>2414.70179676</v>
      </c>
      <c r="N55" t="str">
        <f t="shared" si="5"/>
        <v>ColombiaManufacture of basic pharmaceutical products and pharmaceutical preparations (C21)</v>
      </c>
      <c r="O55" s="11">
        <f>INDEX('Base de dados IHS'!$A$1:$V$676,MATCH($N55,'Base de dados IHS'!$C$1:$C$676,0),MATCH($O$1,'Base de dados IHS'!$A$1:$V$1,0))</f>
        <v>295018.32730579999</v>
      </c>
      <c r="P55" s="11">
        <f>INDEX('Base de dados IHS'!$A$1:$V$676,MATCH($N55,'Base de dados IHS'!$C$1:$C$676,0),MATCH($P$1,'Base de dados IHS'!$A$1:$V$1,0))</f>
        <v>332655.81031924998</v>
      </c>
      <c r="Q55" s="131">
        <f>INDEX('Base de dados IHS'!$A$1:$V$676,MATCH($N55,'Base de dados IHS'!$C$1:$C$676,0),MATCH($Q$1,'Base de dados IHS'!$A$1:$V$1,0))</f>
        <v>4.210788773106767E-3</v>
      </c>
      <c r="R55" s="131">
        <f>INDEX('Base de dados IHS'!$A$1:$V$676,MATCH($N55,'Base de dados IHS'!$C$1:$C$676,0),MATCH($R$1,'Base de dados IHS'!$A$1:$V$1,0))</f>
        <v>4.1762372902692914E-3</v>
      </c>
      <c r="S55" s="131">
        <f>INDEX('Base de dados IHS'!$A$1:$V$676,MATCH($N55,'Base de dados IHS'!$C$1:$C$676,0),MATCH($S$1,'Base de dados IHS'!$A$1:$V$1,0))</f>
        <v>-3.4551482837475583E-5</v>
      </c>
      <c r="T55" t="str">
        <f>IF(Q55&lt;'Cenario A ranking setor PIB'!$G$100,"N","Y")</f>
        <v>N</v>
      </c>
    </row>
    <row r="56" spans="1:20" x14ac:dyDescent="0.45">
      <c r="A56" s="293" t="s">
        <v>77</v>
      </c>
      <c r="B56" s="297" t="s">
        <v>2</v>
      </c>
      <c r="C56" s="297" t="s">
        <v>958</v>
      </c>
      <c r="D56" s="311">
        <v>5648.7957396499996</v>
      </c>
      <c r="E56" s="311">
        <v>8619.8904200500001</v>
      </c>
      <c r="F56" s="302">
        <f t="shared" si="3"/>
        <v>0.52596957251353715</v>
      </c>
      <c r="G56" s="311">
        <v>8298.9085035700009</v>
      </c>
      <c r="H56" s="311">
        <v>8619.8904200500001</v>
      </c>
      <c r="I56" s="302">
        <f t="shared" si="4"/>
        <v>3.8677606379431628E-2</v>
      </c>
      <c r="J56" s="311">
        <v>10114.40366813</v>
      </c>
      <c r="K56" s="311">
        <v>10990.84159675</v>
      </c>
      <c r="L56" s="311">
        <v>11553.612059450001</v>
      </c>
      <c r="M56" s="312">
        <v>12787.31077052</v>
      </c>
      <c r="N56" t="str">
        <f t="shared" si="5"/>
        <v>SpainManufacture of basic pharmaceutical products and pharmaceutical preparations (C21)</v>
      </c>
      <c r="O56" s="11">
        <f>INDEX('Base de dados IHS'!$A$1:$V$676,MATCH($N56,'Base de dados IHS'!$C$1:$C$676,0),MATCH($O$1,'Base de dados IHS'!$A$1:$V$1,0))</f>
        <v>1259732.1048611</v>
      </c>
      <c r="P56" s="11">
        <f>INDEX('Base de dados IHS'!$A$1:$V$676,MATCH($N56,'Base de dados IHS'!$C$1:$C$676,0),MATCH($P$1,'Base de dados IHS'!$A$1:$V$1,0))</f>
        <v>1317888.2673469</v>
      </c>
      <c r="Q56" s="131">
        <f>INDEX('Base de dados IHS'!$A$1:$V$676,MATCH($N56,'Base de dados IHS'!$C$1:$C$676,0),MATCH($Q$1,'Base de dados IHS'!$A$1:$V$1,0))</f>
        <v>6.5878359942926528E-3</v>
      </c>
      <c r="R56" s="131">
        <f>INDEX('Base de dados IHS'!$A$1:$V$676,MATCH($N56,'Base de dados IHS'!$C$1:$C$676,0),MATCH($R$1,'Base de dados IHS'!$A$1:$V$1,0))</f>
        <v>6.5406837845237735E-3</v>
      </c>
      <c r="S56" s="131">
        <f>INDEX('Base de dados IHS'!$A$1:$V$676,MATCH($N56,'Base de dados IHS'!$C$1:$C$676,0),MATCH($S$1,'Base de dados IHS'!$A$1:$V$1,0))</f>
        <v>-4.7152209768879308E-5</v>
      </c>
      <c r="T56" t="str">
        <f>IF(Q56&lt;'Cenario A ranking setor PIB'!$G$100,"N","Y")</f>
        <v>Y</v>
      </c>
    </row>
    <row r="57" spans="1:20" hidden="1" x14ac:dyDescent="0.45">
      <c r="A57" s="293" t="s">
        <v>173</v>
      </c>
      <c r="B57" s="297" t="s">
        <v>2</v>
      </c>
      <c r="C57" s="297" t="s">
        <v>958</v>
      </c>
      <c r="D57" s="311">
        <v>36.499621380000001</v>
      </c>
      <c r="E57" s="311">
        <v>65.541293800000005</v>
      </c>
      <c r="F57" s="302">
        <f t="shared" si="3"/>
        <v>0.79567051169230529</v>
      </c>
      <c r="G57" s="311">
        <v>61.569161389999998</v>
      </c>
      <c r="H57" s="311">
        <v>65.541293800000005</v>
      </c>
      <c r="I57" s="302">
        <f t="shared" si="4"/>
        <v>6.4514966914023253E-2</v>
      </c>
      <c r="J57" s="311">
        <v>69.838034809999996</v>
      </c>
      <c r="K57" s="311">
        <v>74.537666000000002</v>
      </c>
      <c r="L57" s="311">
        <v>78.131532710000002</v>
      </c>
      <c r="M57" s="312">
        <v>86.410587829999997</v>
      </c>
      <c r="N57" t="str">
        <f t="shared" si="5"/>
        <v>PanamaManufacture of basic pharmaceutical products and pharmaceutical preparations (C21)</v>
      </c>
      <c r="O57" s="11">
        <f>INDEX('Base de dados IHS'!$A$1:$V$676,MATCH($N57,'Base de dados IHS'!$C$1:$C$676,0),MATCH($O$1,'Base de dados IHS'!$A$1:$V$1,0))</f>
        <v>58921.61186117</v>
      </c>
      <c r="P57" s="11">
        <f>INDEX('Base de dados IHS'!$A$1:$V$676,MATCH($N57,'Base de dados IHS'!$C$1:$C$676,0),MATCH($P$1,'Base de dados IHS'!$A$1:$V$1,0))</f>
        <v>65983.988595749994</v>
      </c>
      <c r="Q57" s="131">
        <f>INDEX('Base de dados IHS'!$A$1:$V$676,MATCH($N57,'Base de dados IHS'!$C$1:$C$676,0),MATCH($Q$1,'Base de dados IHS'!$A$1:$V$1,0))</f>
        <v>1.0449334199320295E-3</v>
      </c>
      <c r="R57" s="131">
        <f>INDEX('Base de dados IHS'!$A$1:$V$676,MATCH($N57,'Base de dados IHS'!$C$1:$C$676,0),MATCH($R$1,'Base de dados IHS'!$A$1:$V$1,0))</f>
        <v>9.9329087548098759E-4</v>
      </c>
      <c r="S57" s="131">
        <f>INDEX('Base de dados IHS'!$A$1:$V$676,MATCH($N57,'Base de dados IHS'!$C$1:$C$676,0),MATCH($S$1,'Base de dados IHS'!$A$1:$V$1,0))</f>
        <v>-5.164254445104194E-5</v>
      </c>
      <c r="T57" t="str">
        <f>IF(Q57&lt;'Cenario A ranking setor PIB'!$G$100,"N","Y")</f>
        <v>N</v>
      </c>
    </row>
    <row r="58" spans="1:20" hidden="1" x14ac:dyDescent="0.45">
      <c r="A58" s="293" t="s">
        <v>168</v>
      </c>
      <c r="B58" s="297" t="s">
        <v>2</v>
      </c>
      <c r="C58" s="297" t="s">
        <v>958</v>
      </c>
      <c r="D58" s="311">
        <v>49.1022119</v>
      </c>
      <c r="E58" s="311">
        <v>66.576954029999996</v>
      </c>
      <c r="F58" s="302">
        <f t="shared" si="3"/>
        <v>0.35588502948886491</v>
      </c>
      <c r="G58" s="311">
        <v>68.533606059999997</v>
      </c>
      <c r="H58" s="311">
        <v>66.576954029999996</v>
      </c>
      <c r="I58" s="302">
        <f t="shared" si="4"/>
        <v>-2.8550256472525071E-2</v>
      </c>
      <c r="J58" s="311">
        <v>71.594660349999998</v>
      </c>
      <c r="K58" s="311">
        <v>77.965202189999999</v>
      </c>
      <c r="L58" s="311">
        <v>83.084421300000002</v>
      </c>
      <c r="M58" s="312">
        <v>95.125022110000003</v>
      </c>
      <c r="N58" t="str">
        <f t="shared" si="5"/>
        <v>TunisiaManufacture of basic pharmaceutical products and pharmaceutical preparations (C21)</v>
      </c>
      <c r="O58" s="11">
        <f>INDEX('Base de dados IHS'!$A$1:$V$676,MATCH($N58,'Base de dados IHS'!$C$1:$C$676,0),MATCH($O$1,'Base de dados IHS'!$A$1:$V$1,0))</f>
        <v>38884.65391288</v>
      </c>
      <c r="P58" s="11">
        <f>INDEX('Base de dados IHS'!$A$1:$V$676,MATCH($N58,'Base de dados IHS'!$C$1:$C$676,0),MATCH($P$1,'Base de dados IHS'!$A$1:$V$1,0))</f>
        <v>40072.692608359997</v>
      </c>
      <c r="Q58" s="131">
        <f>INDEX('Base de dados IHS'!$A$1:$V$676,MATCH($N58,'Base de dados IHS'!$C$1:$C$676,0),MATCH($Q$1,'Base de dados IHS'!$A$1:$V$1,0))</f>
        <v>1.7624846607493965E-3</v>
      </c>
      <c r="R58" s="131">
        <f>INDEX('Base de dados IHS'!$A$1:$V$676,MATCH($N58,'Base de dados IHS'!$C$1:$C$676,0),MATCH($R$1,'Base de dados IHS'!$A$1:$V$1,0))</f>
        <v>1.6614045549839258E-3</v>
      </c>
      <c r="S58" s="131">
        <f>INDEX('Base de dados IHS'!$A$1:$V$676,MATCH($N58,'Base de dados IHS'!$C$1:$C$676,0),MATCH($S$1,'Base de dados IHS'!$A$1:$V$1,0))</f>
        <v>-1.0108010576547074E-4</v>
      </c>
      <c r="T58" t="str">
        <f>IF(Q58&lt;'Cenario A ranking setor PIB'!$G$100,"N","Y")</f>
        <v>N</v>
      </c>
    </row>
    <row r="59" spans="1:20" x14ac:dyDescent="0.45">
      <c r="A59" s="293" t="s">
        <v>141</v>
      </c>
      <c r="B59" s="297" t="s">
        <v>2</v>
      </c>
      <c r="C59" s="297" t="s">
        <v>958</v>
      </c>
      <c r="D59" s="311">
        <v>209759.85424106001</v>
      </c>
      <c r="E59" s="311">
        <v>192886.45634442</v>
      </c>
      <c r="F59" s="302">
        <f t="shared" si="3"/>
        <v>-8.0441502773208273E-2</v>
      </c>
      <c r="G59" s="311">
        <v>171459.79359434999</v>
      </c>
      <c r="H59" s="311">
        <v>192886.45634442</v>
      </c>
      <c r="I59" s="302">
        <f t="shared" si="4"/>
        <v>0.12496610605260905</v>
      </c>
      <c r="J59" s="311">
        <v>236022.54291217</v>
      </c>
      <c r="K59" s="311">
        <v>256022.88756905001</v>
      </c>
      <c r="L59" s="311">
        <v>274086.60995221999</v>
      </c>
      <c r="M59" s="312">
        <v>322681.41171069001</v>
      </c>
      <c r="N59" t="str">
        <f t="shared" si="5"/>
        <v>United StatesManufacture of basic pharmaceutical products and pharmaceutical preparations (C21)</v>
      </c>
      <c r="O59" s="11">
        <f>INDEX('Base de dados IHS'!$A$1:$V$676,MATCH($N59,'Base de dados IHS'!$C$1:$C$676,0),MATCH($O$1,'Base de dados IHS'!$A$1:$V$1,0))</f>
        <v>19553083.060252</v>
      </c>
      <c r="P59" s="11">
        <f>INDEX('Base de dados IHS'!$A$1:$V$676,MATCH($N59,'Base de dados IHS'!$C$1:$C$676,0),MATCH($P$1,'Base de dados IHS'!$A$1:$V$1,0))</f>
        <v>22265681.170655001</v>
      </c>
      <c r="Q59" s="131">
        <f>INDEX('Base de dados IHS'!$A$1:$V$676,MATCH($N59,'Base de dados IHS'!$C$1:$C$676,0),MATCH($Q$1,'Base de dados IHS'!$A$1:$V$1,0))</f>
        <v>8.7689390499699656E-3</v>
      </c>
      <c r="R59" s="131">
        <f>INDEX('Base de dados IHS'!$A$1:$V$676,MATCH($N59,'Base de dados IHS'!$C$1:$C$676,0),MATCH($R$1,'Base de dados IHS'!$A$1:$V$1,0))</f>
        <v>8.662948816433886E-3</v>
      </c>
      <c r="S59" s="131">
        <f>INDEX('Base de dados IHS'!$A$1:$V$676,MATCH($N59,'Base de dados IHS'!$C$1:$C$676,0),MATCH($S$1,'Base de dados IHS'!$A$1:$V$1,0))</f>
        <v>-1.0599023353607961E-4</v>
      </c>
      <c r="T59" t="str">
        <f>IF(Q59&lt;'Cenario A ranking setor PIB'!$G$100,"N","Y")</f>
        <v>Y</v>
      </c>
    </row>
    <row r="60" spans="1:20" hidden="1" x14ac:dyDescent="0.45">
      <c r="A60" s="293" t="s">
        <v>120</v>
      </c>
      <c r="B60" s="297" t="s">
        <v>2</v>
      </c>
      <c r="C60" s="297" t="s">
        <v>958</v>
      </c>
      <c r="D60" s="311">
        <v>2258.4858798700002</v>
      </c>
      <c r="E60" s="311">
        <v>2841.1135146699999</v>
      </c>
      <c r="F60" s="302">
        <f t="shared" si="3"/>
        <v>0.257972670979699</v>
      </c>
      <c r="G60" s="311">
        <v>2631.5730758599998</v>
      </c>
      <c r="H60" s="311">
        <v>2841.1135146699999</v>
      </c>
      <c r="I60" s="302">
        <f t="shared" si="4"/>
        <v>7.9625544406180637E-2</v>
      </c>
      <c r="J60" s="311">
        <v>3169.7784158300001</v>
      </c>
      <c r="K60" s="311">
        <v>3522.71471737</v>
      </c>
      <c r="L60" s="311">
        <v>3767.8746927500001</v>
      </c>
      <c r="M60" s="312">
        <v>4362.9190371699997</v>
      </c>
      <c r="N60" t="str">
        <f t="shared" si="5"/>
        <v>AustraliaManufacture of basic pharmaceutical products and pharmaceutical preparations (C21)</v>
      </c>
      <c r="O60" s="11">
        <f>INDEX('Base de dados IHS'!$A$1:$V$676,MATCH($N60,'Base de dados IHS'!$C$1:$C$676,0),MATCH($O$1,'Base de dados IHS'!$A$1:$V$1,0))</f>
        <v>1256563.3075111001</v>
      </c>
      <c r="P60" s="11">
        <f>INDEX('Base de dados IHS'!$A$1:$V$676,MATCH($N60,'Base de dados IHS'!$C$1:$C$676,0),MATCH($P$1,'Base de dados IHS'!$A$1:$V$1,0))</f>
        <v>1430586.2916371</v>
      </c>
      <c r="Q60" s="131">
        <f>INDEX('Base de dados IHS'!$A$1:$V$676,MATCH($N60,'Base de dados IHS'!$C$1:$C$676,0),MATCH($Q$1,'Base de dados IHS'!$A$1:$V$1,0))</f>
        <v>2.0942622310629209E-3</v>
      </c>
      <c r="R60" s="131">
        <f>INDEX('Base de dados IHS'!$A$1:$V$676,MATCH($N60,'Base de dados IHS'!$C$1:$C$676,0),MATCH($R$1,'Base de dados IHS'!$A$1:$V$1,0))</f>
        <v>1.9859784280602567E-3</v>
      </c>
      <c r="S60" s="131">
        <f>INDEX('Base de dados IHS'!$A$1:$V$676,MATCH($N60,'Base de dados IHS'!$C$1:$C$676,0),MATCH($S$1,'Base de dados IHS'!$A$1:$V$1,0))</f>
        <v>-1.0828380300266418E-4</v>
      </c>
      <c r="T60" t="str">
        <f>IF(Q60&lt;'Cenario A ranking setor PIB'!$G$100,"N","Y")</f>
        <v>N</v>
      </c>
    </row>
    <row r="61" spans="1:20" hidden="1" x14ac:dyDescent="0.45">
      <c r="A61" s="293" t="s">
        <v>109</v>
      </c>
      <c r="B61" s="297" t="s">
        <v>2</v>
      </c>
      <c r="C61" s="297" t="s">
        <v>958</v>
      </c>
      <c r="D61" s="311">
        <v>672.08660524000004</v>
      </c>
      <c r="E61" s="311">
        <v>814.97077022999997</v>
      </c>
      <c r="F61" s="302">
        <f t="shared" si="3"/>
        <v>0.2125978465810614</v>
      </c>
      <c r="G61" s="311">
        <v>799.89865025999995</v>
      </c>
      <c r="H61" s="311">
        <v>814.97077022999997</v>
      </c>
      <c r="I61" s="302">
        <f t="shared" si="4"/>
        <v>1.8842537070291376E-2</v>
      </c>
      <c r="J61" s="311">
        <v>1026.1797034799999</v>
      </c>
      <c r="K61" s="311">
        <v>1217.52905822</v>
      </c>
      <c r="L61" s="311">
        <v>1364.24834672</v>
      </c>
      <c r="M61" s="312">
        <v>1767.4283273399999</v>
      </c>
      <c r="N61" t="str">
        <f t="shared" si="5"/>
        <v>ThailandManufacture of basic pharmaceutical products and pharmaceutical preparations (C21)</v>
      </c>
      <c r="O61" s="11">
        <f>INDEX('Base de dados IHS'!$A$1:$V$676,MATCH($N61,'Base de dados IHS'!$C$1:$C$676,0),MATCH($O$1,'Base de dados IHS'!$A$1:$V$1,0))</f>
        <v>474324.68093352998</v>
      </c>
      <c r="P61" s="11">
        <f>INDEX('Base de dados IHS'!$A$1:$V$676,MATCH($N61,'Base de dados IHS'!$C$1:$C$676,0),MATCH($P$1,'Base de dados IHS'!$A$1:$V$1,0))</f>
        <v>518585.14704719</v>
      </c>
      <c r="Q61" s="131">
        <f>INDEX('Base de dados IHS'!$A$1:$V$676,MATCH($N61,'Base de dados IHS'!$C$1:$C$676,0),MATCH($Q$1,'Base de dados IHS'!$A$1:$V$1,0))</f>
        <v>1.6863947469182921E-3</v>
      </c>
      <c r="R61" s="131">
        <f>INDEX('Base de dados IHS'!$A$1:$V$676,MATCH($N61,'Base de dados IHS'!$C$1:$C$676,0),MATCH($R$1,'Base de dados IHS'!$A$1:$V$1,0))</f>
        <v>1.5715274046517178E-3</v>
      </c>
      <c r="S61" s="131">
        <f>INDEX('Base de dados IHS'!$A$1:$V$676,MATCH($N61,'Base de dados IHS'!$C$1:$C$676,0),MATCH($S$1,'Base de dados IHS'!$A$1:$V$1,0))</f>
        <v>-1.1486734226657429E-4</v>
      </c>
      <c r="T61" t="str">
        <f>IF(Q61&lt;'Cenario A ranking setor PIB'!$G$100,"N","Y")</f>
        <v>N</v>
      </c>
    </row>
    <row r="62" spans="1:20" hidden="1" x14ac:dyDescent="0.45">
      <c r="A62" s="293" t="s">
        <v>166</v>
      </c>
      <c r="B62" s="297" t="s">
        <v>2</v>
      </c>
      <c r="C62" s="297" t="s">
        <v>958</v>
      </c>
      <c r="D62" s="311">
        <v>59.808277220000001</v>
      </c>
      <c r="E62" s="311">
        <v>81.911899939999998</v>
      </c>
      <c r="F62" s="302">
        <f t="shared" si="3"/>
        <v>0.36957464330051804</v>
      </c>
      <c r="G62" s="311">
        <v>72.606207350000005</v>
      </c>
      <c r="H62" s="311">
        <v>81.911899939999998</v>
      </c>
      <c r="I62" s="302">
        <f t="shared" si="4"/>
        <v>0.12816662554954394</v>
      </c>
      <c r="J62" s="311">
        <v>91.131931179999995</v>
      </c>
      <c r="K62" s="311">
        <v>102.74563655</v>
      </c>
      <c r="L62" s="311">
        <v>112.59047447</v>
      </c>
      <c r="M62" s="312">
        <v>139.13862759</v>
      </c>
      <c r="N62" t="str">
        <f t="shared" si="5"/>
        <v>HondurasManufacture of basic pharmaceutical products and pharmaceutical preparations (C21)</v>
      </c>
      <c r="O62" s="11">
        <f>INDEX('Base de dados IHS'!$A$1:$V$676,MATCH($N62,'Base de dados IHS'!$C$1:$C$676,0),MATCH($O$1,'Base de dados IHS'!$A$1:$V$1,0))</f>
        <v>21608.112082880001</v>
      </c>
      <c r="P62" s="11">
        <f>INDEX('Base de dados IHS'!$A$1:$V$676,MATCH($N62,'Base de dados IHS'!$C$1:$C$676,0),MATCH($P$1,'Base de dados IHS'!$A$1:$V$1,0))</f>
        <v>25703.55773198</v>
      </c>
      <c r="Q62" s="131">
        <f>INDEX('Base de dados IHS'!$A$1:$V$676,MATCH($N62,'Base de dados IHS'!$C$1:$C$676,0),MATCH($Q$1,'Base de dados IHS'!$A$1:$V$1,0))</f>
        <v>3.3601365575813328E-3</v>
      </c>
      <c r="R62" s="131">
        <f>INDEX('Base de dados IHS'!$A$1:$V$676,MATCH($N62,'Base de dados IHS'!$C$1:$C$676,0),MATCH($R$1,'Base de dados IHS'!$A$1:$V$1,0))</f>
        <v>3.186792303000389E-3</v>
      </c>
      <c r="S62" s="131">
        <f>INDEX('Base de dados IHS'!$A$1:$V$676,MATCH($N62,'Base de dados IHS'!$C$1:$C$676,0),MATCH($S$1,'Base de dados IHS'!$A$1:$V$1,0))</f>
        <v>-1.7334425458094375E-4</v>
      </c>
      <c r="T62" t="str">
        <f>IF(Q62&lt;'Cenario A ranking setor PIB'!$G$100,"N","Y")</f>
        <v>N</v>
      </c>
    </row>
    <row r="63" spans="1:20" hidden="1" x14ac:dyDescent="0.45">
      <c r="A63" s="293" t="s">
        <v>175</v>
      </c>
      <c r="B63" s="297" t="s">
        <v>2</v>
      </c>
      <c r="C63" s="297" t="s">
        <v>958</v>
      </c>
      <c r="D63" s="311">
        <v>108.44525747</v>
      </c>
      <c r="E63" s="311">
        <v>148.11362058</v>
      </c>
      <c r="F63" s="302">
        <f t="shared" si="3"/>
        <v>0.36579158955820401</v>
      </c>
      <c r="G63" s="311">
        <v>129.35038947999999</v>
      </c>
      <c r="H63" s="311">
        <v>148.11362058</v>
      </c>
      <c r="I63" s="302">
        <f t="shared" si="4"/>
        <v>0.14505739932774731</v>
      </c>
      <c r="J63" s="311">
        <v>167.93338954000001</v>
      </c>
      <c r="K63" s="311">
        <v>201.32008375999999</v>
      </c>
      <c r="L63" s="311">
        <v>230.4677298</v>
      </c>
      <c r="M63" s="312">
        <v>312.58121059000001</v>
      </c>
      <c r="N63" t="str">
        <f t="shared" si="5"/>
        <v>KenyaManufacture of basic pharmaceutical products and pharmaceutical preparations (C21)</v>
      </c>
      <c r="O63" s="11">
        <f>INDEX('Base de dados IHS'!$A$1:$V$676,MATCH($N63,'Base de dados IHS'!$C$1:$C$676,0),MATCH($O$1,'Base de dados IHS'!$A$1:$V$1,0))</f>
        <v>83525.195225389994</v>
      </c>
      <c r="P63" s="11">
        <f>INDEX('Base de dados IHS'!$A$1:$V$676,MATCH($N63,'Base de dados IHS'!$C$1:$C$676,0),MATCH($P$1,'Base de dados IHS'!$A$1:$V$1,0))</f>
        <v>107697.99713524</v>
      </c>
      <c r="Q63" s="131">
        <f>INDEX('Base de dados IHS'!$A$1:$V$676,MATCH($N63,'Base de dados IHS'!$C$1:$C$676,0),MATCH($Q$1,'Base de dados IHS'!$A$1:$V$1,0))</f>
        <v>1.5486391756517565E-3</v>
      </c>
      <c r="R63" s="131">
        <f>INDEX('Base de dados IHS'!$A$1:$V$676,MATCH($N63,'Base de dados IHS'!$C$1:$C$676,0),MATCH($R$1,'Base de dados IHS'!$A$1:$V$1,0))</f>
        <v>1.3752681063697845E-3</v>
      </c>
      <c r="S63" s="131">
        <f>INDEX('Base de dados IHS'!$A$1:$V$676,MATCH($N63,'Base de dados IHS'!$C$1:$C$676,0),MATCH($S$1,'Base de dados IHS'!$A$1:$V$1,0))</f>
        <v>-1.7337106928197194E-4</v>
      </c>
      <c r="T63" t="str">
        <f>IF(Q63&lt;'Cenario A ranking setor PIB'!$G$100,"N","Y")</f>
        <v>N</v>
      </c>
    </row>
    <row r="64" spans="1:20" hidden="1" x14ac:dyDescent="0.45">
      <c r="A64" s="293" t="s">
        <v>162</v>
      </c>
      <c r="B64" s="297" t="s">
        <v>2</v>
      </c>
      <c r="C64" s="297" t="s">
        <v>958</v>
      </c>
      <c r="D64" s="311">
        <v>318.98615043000001</v>
      </c>
      <c r="E64" s="311">
        <v>392.00174586000003</v>
      </c>
      <c r="F64" s="302">
        <f t="shared" si="3"/>
        <v>0.22889895166788099</v>
      </c>
      <c r="G64" s="311">
        <v>354.52716654</v>
      </c>
      <c r="H64" s="311">
        <v>392.00174586000003</v>
      </c>
      <c r="I64" s="302">
        <f t="shared" si="4"/>
        <v>0.10570298373953224</v>
      </c>
      <c r="J64" s="311">
        <v>442.50234491999998</v>
      </c>
      <c r="K64" s="311">
        <v>465.55758216999999</v>
      </c>
      <c r="L64" s="311">
        <v>479.65462824999997</v>
      </c>
      <c r="M64" s="312">
        <v>499.00649788999999</v>
      </c>
      <c r="N64" t="str">
        <f t="shared" si="5"/>
        <v>RomaniaManufacture of basic pharmaceutical products and pharmaceutical preparations (C21)</v>
      </c>
      <c r="O64" s="11">
        <f>INDEX('Base de dados IHS'!$A$1:$V$676,MATCH($N64,'Base de dados IHS'!$C$1:$C$676,0),MATCH($O$1,'Base de dados IHS'!$A$1:$V$1,0))</f>
        <v>204518.17392167001</v>
      </c>
      <c r="P64" s="11">
        <f>INDEX('Base de dados IHS'!$A$1:$V$676,MATCH($N64,'Base de dados IHS'!$C$1:$C$676,0),MATCH($P$1,'Base de dados IHS'!$A$1:$V$1,0))</f>
        <v>254974.25152873</v>
      </c>
      <c r="Q64" s="131">
        <f>INDEX('Base de dados IHS'!$A$1:$V$676,MATCH($N64,'Base de dados IHS'!$C$1:$C$676,0),MATCH($Q$1,'Base de dados IHS'!$A$1:$V$1,0))</f>
        <v>1.7334751222440657E-3</v>
      </c>
      <c r="R64" s="131">
        <f>INDEX('Base de dados IHS'!$A$1:$V$676,MATCH($N64,'Base de dados IHS'!$C$1:$C$676,0),MATCH($R$1,'Base de dados IHS'!$A$1:$V$1,0))</f>
        <v>1.5374169882241228E-3</v>
      </c>
      <c r="S64" s="131">
        <f>INDEX('Base de dados IHS'!$A$1:$V$676,MATCH($N64,'Base de dados IHS'!$C$1:$C$676,0),MATCH($S$1,'Base de dados IHS'!$A$1:$V$1,0))</f>
        <v>-1.9605813401994297E-4</v>
      </c>
      <c r="T64" t="str">
        <f>IF(Q64&lt;'Cenario A ranking setor PIB'!$G$100,"N","Y")</f>
        <v>N</v>
      </c>
    </row>
    <row r="65" spans="1:20" hidden="1" x14ac:dyDescent="0.45">
      <c r="A65" s="293" t="s">
        <v>169</v>
      </c>
      <c r="B65" s="297" t="s">
        <v>2</v>
      </c>
      <c r="C65" s="297" t="s">
        <v>958</v>
      </c>
      <c r="D65" s="311">
        <v>124.49986205</v>
      </c>
      <c r="E65" s="311">
        <v>142.33559468999999</v>
      </c>
      <c r="F65" s="302">
        <f t="shared" si="3"/>
        <v>0.14325905544246331</v>
      </c>
      <c r="G65" s="311">
        <v>133.30229955999999</v>
      </c>
      <c r="H65" s="311">
        <v>142.33559468999999</v>
      </c>
      <c r="I65" s="302">
        <f t="shared" si="4"/>
        <v>6.7765486115519469E-2</v>
      </c>
      <c r="J65" s="311">
        <v>162.46329492000001</v>
      </c>
      <c r="K65" s="311">
        <v>172.76622183000001</v>
      </c>
      <c r="L65" s="311">
        <v>182.19650075000001</v>
      </c>
      <c r="M65" s="312">
        <v>209.28058755000001</v>
      </c>
      <c r="N65" t="str">
        <f t="shared" si="5"/>
        <v>Costa RicaManufacture of basic pharmaceutical products and pharmaceutical preparations (C21)</v>
      </c>
      <c r="O65" s="11">
        <f>INDEX('Base de dados IHS'!$A$1:$V$676,MATCH($N65,'Base de dados IHS'!$C$1:$C$676,0),MATCH($O$1,'Base de dados IHS'!$A$1:$V$1,0))</f>
        <v>56790.776904650003</v>
      </c>
      <c r="P65" s="11">
        <f>INDEX('Base de dados IHS'!$A$1:$V$676,MATCH($N65,'Base de dados IHS'!$C$1:$C$676,0),MATCH($P$1,'Base de dados IHS'!$A$1:$V$1,0))</f>
        <v>66933.267445050005</v>
      </c>
      <c r="Q65" s="131">
        <f>INDEX('Base de dados IHS'!$A$1:$V$676,MATCH($N65,'Base de dados IHS'!$C$1:$C$676,0),MATCH($Q$1,'Base de dados IHS'!$A$1:$V$1,0))</f>
        <v>2.3472526143428277E-3</v>
      </c>
      <c r="R65" s="131">
        <f>INDEX('Base de dados IHS'!$A$1:$V$676,MATCH($N65,'Base de dados IHS'!$C$1:$C$676,0),MATCH($R$1,'Base de dados IHS'!$A$1:$V$1,0))</f>
        <v>2.1265299024413055E-3</v>
      </c>
      <c r="S65" s="131">
        <f>INDEX('Base de dados IHS'!$A$1:$V$676,MATCH($N65,'Base de dados IHS'!$C$1:$C$676,0),MATCH($S$1,'Base de dados IHS'!$A$1:$V$1,0))</f>
        <v>-2.2072271190152213E-4</v>
      </c>
      <c r="T65" t="str">
        <f>IF(Q65&lt;'Cenario A ranking setor PIB'!$G$100,"N","Y")</f>
        <v>N</v>
      </c>
    </row>
    <row r="66" spans="1:20" hidden="1" x14ac:dyDescent="0.45">
      <c r="A66" s="293" t="s">
        <v>170</v>
      </c>
      <c r="B66" s="297" t="s">
        <v>2</v>
      </c>
      <c r="C66" s="297" t="s">
        <v>958</v>
      </c>
      <c r="D66" s="311">
        <v>787.42059523</v>
      </c>
      <c r="E66" s="311">
        <v>821.33830048000004</v>
      </c>
      <c r="F66" s="302">
        <f t="shared" ref="F66:F76" si="6">H66/D66-1</f>
        <v>4.3074445163696629E-2</v>
      </c>
      <c r="G66" s="311">
        <v>782.03671650000001</v>
      </c>
      <c r="H66" s="311">
        <v>821.33830048000004</v>
      </c>
      <c r="I66" s="302">
        <f t="shared" ref="I66:I97" si="7">H66/G66-1</f>
        <v>5.0255420430761921E-2</v>
      </c>
      <c r="J66" s="311">
        <v>793.09753067999998</v>
      </c>
      <c r="K66" s="311">
        <v>877.65185093000002</v>
      </c>
      <c r="L66" s="311">
        <v>946.65193747000001</v>
      </c>
      <c r="M66" s="312">
        <v>1109.0912218799999</v>
      </c>
      <c r="N66" t="str">
        <f t="shared" ref="N66:N76" si="8">A66&amp;B66</f>
        <v>ChileManufacture of basic pharmaceutical products and pharmaceutical preparations (C21)</v>
      </c>
      <c r="O66" s="11">
        <f>INDEX('Base de dados IHS'!$A$1:$V$676,MATCH($N66,'Base de dados IHS'!$C$1:$C$676,0),MATCH($O$1,'Base de dados IHS'!$A$1:$V$1,0))</f>
        <v>257576.69277617999</v>
      </c>
      <c r="P66" s="11">
        <f>INDEX('Base de dados IHS'!$A$1:$V$676,MATCH($N66,'Base de dados IHS'!$C$1:$C$676,0),MATCH($P$1,'Base de dados IHS'!$A$1:$V$1,0))</f>
        <v>291863.26262717001</v>
      </c>
      <c r="Q66" s="131">
        <f>INDEX('Base de dados IHS'!$A$1:$V$676,MATCH($N66,'Base de dados IHS'!$C$1:$C$676,0),MATCH($Q$1,'Base de dados IHS'!$A$1:$V$1,0))</f>
        <v>3.0361315228918909E-3</v>
      </c>
      <c r="R66" s="131">
        <f>INDEX('Base de dados IHS'!$A$1:$V$676,MATCH($N66,'Base de dados IHS'!$C$1:$C$676,0),MATCH($R$1,'Base de dados IHS'!$A$1:$V$1,0))</f>
        <v>2.814120191376016E-3</v>
      </c>
      <c r="S66" s="131">
        <f>INDEX('Base de dados IHS'!$A$1:$V$676,MATCH($N66,'Base de dados IHS'!$C$1:$C$676,0),MATCH($S$1,'Base de dados IHS'!$A$1:$V$1,0))</f>
        <v>-2.220113315158749E-4</v>
      </c>
      <c r="T66" t="str">
        <f>IF(Q66&lt;'Cenario A ranking setor PIB'!$G$100,"N","Y")</f>
        <v>N</v>
      </c>
    </row>
    <row r="67" spans="1:20" hidden="1" x14ac:dyDescent="0.45">
      <c r="A67" s="293" t="s">
        <v>163</v>
      </c>
      <c r="B67" s="297" t="s">
        <v>2</v>
      </c>
      <c r="C67" s="297" t="s">
        <v>958</v>
      </c>
      <c r="D67" s="311">
        <v>200.45394393000001</v>
      </c>
      <c r="E67" s="311">
        <v>205.18708527999999</v>
      </c>
      <c r="F67" s="302">
        <f t="shared" si="6"/>
        <v>2.3612113871168461E-2</v>
      </c>
      <c r="G67" s="311">
        <v>212.13599615000001</v>
      </c>
      <c r="H67" s="311">
        <v>205.18708527999999</v>
      </c>
      <c r="I67" s="302">
        <f t="shared" si="7"/>
        <v>-3.2756868217152957E-2</v>
      </c>
      <c r="J67" s="311">
        <v>196.90705098000001</v>
      </c>
      <c r="K67" s="311">
        <v>204.19484231000001</v>
      </c>
      <c r="L67" s="311">
        <v>210.78181549000001</v>
      </c>
      <c r="M67" s="312">
        <v>226.69909045</v>
      </c>
      <c r="N67" t="str">
        <f t="shared" si="8"/>
        <v>New ZealandManufacture of basic pharmaceutical products and pharmaceutical preparations (C21)</v>
      </c>
      <c r="O67" s="11">
        <f>INDEX('Base de dados IHS'!$A$1:$V$676,MATCH($N67,'Base de dados IHS'!$C$1:$C$676,0),MATCH($O$1,'Base de dados IHS'!$A$1:$V$1,0))</f>
        <v>180884.85070677</v>
      </c>
      <c r="P67" s="11">
        <f>INDEX('Base de dados IHS'!$A$1:$V$676,MATCH($N67,'Base de dados IHS'!$C$1:$C$676,0),MATCH($P$1,'Base de dados IHS'!$A$1:$V$1,0))</f>
        <v>220909.49174857</v>
      </c>
      <c r="Q67" s="131">
        <f>INDEX('Base de dados IHS'!$A$1:$V$676,MATCH($N67,'Base de dados IHS'!$C$1:$C$676,0),MATCH($Q$1,'Base de dados IHS'!$A$1:$V$1,0))</f>
        <v>1.1727681744553105E-3</v>
      </c>
      <c r="R67" s="131">
        <f>INDEX('Base de dados IHS'!$A$1:$V$676,MATCH($N67,'Base de dados IHS'!$C$1:$C$676,0),MATCH($R$1,'Base de dados IHS'!$A$1:$V$1,0))</f>
        <v>9.2882874183394261E-4</v>
      </c>
      <c r="S67" s="131">
        <f>INDEX('Base de dados IHS'!$A$1:$V$676,MATCH($N67,'Base de dados IHS'!$C$1:$C$676,0),MATCH($S$1,'Base de dados IHS'!$A$1:$V$1,0))</f>
        <v>-2.4393943262136786E-4</v>
      </c>
      <c r="T67" t="str">
        <f>IF(Q67&lt;'Cenario A ranking setor PIB'!$G$100,"N","Y")</f>
        <v>N</v>
      </c>
    </row>
    <row r="68" spans="1:20" x14ac:dyDescent="0.45">
      <c r="A68" s="293" t="s">
        <v>100</v>
      </c>
      <c r="B68" s="297" t="s">
        <v>2</v>
      </c>
      <c r="C68" s="297" t="s">
        <v>958</v>
      </c>
      <c r="D68" s="311">
        <v>39653.820989489999</v>
      </c>
      <c r="E68" s="311">
        <v>42834.605834599999</v>
      </c>
      <c r="F68" s="302">
        <f t="shared" si="6"/>
        <v>8.0213829732903807E-2</v>
      </c>
      <c r="G68" s="311">
        <v>43647.140283449997</v>
      </c>
      <c r="H68" s="311">
        <v>42834.605834599999</v>
      </c>
      <c r="I68" s="302">
        <f t="shared" si="7"/>
        <v>-1.8615983626265042E-2</v>
      </c>
      <c r="J68" s="311">
        <v>56330.960356819996</v>
      </c>
      <c r="K68" s="311">
        <v>60454.128602500001</v>
      </c>
      <c r="L68" s="311">
        <v>63627.977858229999</v>
      </c>
      <c r="M68" s="312">
        <v>70669.461751540002</v>
      </c>
      <c r="N68" t="str">
        <f t="shared" si="8"/>
        <v>JapanManufacture of basic pharmaceutical products and pharmaceutical preparations (C21)</v>
      </c>
      <c r="O68" s="11">
        <f>INDEX('Base de dados IHS'!$A$1:$V$676,MATCH($N68,'Base de dados IHS'!$C$1:$C$676,0),MATCH($O$1,'Base de dados IHS'!$A$1:$V$1,0))</f>
        <v>4983596.864085</v>
      </c>
      <c r="P68" s="11">
        <f>INDEX('Base de dados IHS'!$A$1:$V$676,MATCH($N68,'Base de dados IHS'!$C$1:$C$676,0),MATCH($P$1,'Base de dados IHS'!$A$1:$V$1,0))</f>
        <v>5032370.4042106001</v>
      </c>
      <c r="Q68" s="131">
        <f>INDEX('Base de dados IHS'!$A$1:$V$676,MATCH($N68,'Base de dados IHS'!$C$1:$C$676,0),MATCH($Q$1,'Base de dados IHS'!$A$1:$V$1,0))</f>
        <v>8.7581603154940815E-3</v>
      </c>
      <c r="R68" s="131">
        <f>INDEX('Base de dados IHS'!$A$1:$V$676,MATCH($N68,'Base de dados IHS'!$C$1:$C$676,0),MATCH($R$1,'Base de dados IHS'!$A$1:$V$1,0))</f>
        <v>8.5118149885708237E-3</v>
      </c>
      <c r="S68" s="131">
        <f>INDEX('Base de dados IHS'!$A$1:$V$676,MATCH($N68,'Base de dados IHS'!$C$1:$C$676,0),MATCH($S$1,'Base de dados IHS'!$A$1:$V$1,0))</f>
        <v>-2.4634532692325781E-4</v>
      </c>
      <c r="T68" t="str">
        <f>IF(Q68&lt;'Cenario A ranking setor PIB'!$G$100,"N","Y")</f>
        <v>Y</v>
      </c>
    </row>
    <row r="69" spans="1:20" hidden="1" x14ac:dyDescent="0.45">
      <c r="A69" s="293" t="s">
        <v>145</v>
      </c>
      <c r="B69" s="297" t="s">
        <v>2</v>
      </c>
      <c r="C69" s="297" t="s">
        <v>958</v>
      </c>
      <c r="D69" s="311">
        <v>763.40193346000001</v>
      </c>
      <c r="E69" s="311">
        <v>786.76036544999999</v>
      </c>
      <c r="F69" s="302">
        <f t="shared" si="6"/>
        <v>3.0597816125683019E-2</v>
      </c>
      <c r="G69" s="311">
        <v>870.64686155000004</v>
      </c>
      <c r="H69" s="311">
        <v>786.76036544999999</v>
      </c>
      <c r="I69" s="302">
        <f t="shared" si="7"/>
        <v>-9.6349622108162336E-2</v>
      </c>
      <c r="J69" s="311">
        <v>729.11492866000003</v>
      </c>
      <c r="K69" s="311">
        <v>770.75365983999995</v>
      </c>
      <c r="L69" s="311">
        <v>816.61205875999997</v>
      </c>
      <c r="M69" s="312">
        <v>915.32043241999997</v>
      </c>
      <c r="N69" t="str">
        <f t="shared" si="8"/>
        <v>South AfricaManufacture of basic pharmaceutical products and pharmaceutical preparations (C21)</v>
      </c>
      <c r="O69" s="11">
        <f>INDEX('Base de dados IHS'!$A$1:$V$676,MATCH($N69,'Base de dados IHS'!$C$1:$C$676,0),MATCH($O$1,'Base de dados IHS'!$A$1:$V$1,0))</f>
        <v>375376.48654821003</v>
      </c>
      <c r="P69" s="11">
        <f>INDEX('Base de dados IHS'!$A$1:$V$676,MATCH($N69,'Base de dados IHS'!$C$1:$C$676,0),MATCH($P$1,'Base de dados IHS'!$A$1:$V$1,0))</f>
        <v>383209.69906191999</v>
      </c>
      <c r="Q69" s="131">
        <f>INDEX('Base de dados IHS'!$A$1:$V$676,MATCH($N69,'Base de dados IHS'!$C$1:$C$676,0),MATCH($Q$1,'Base de dados IHS'!$A$1:$V$1,0))</f>
        <v>2.3193963733745531E-3</v>
      </c>
      <c r="R69" s="131">
        <f>INDEX('Base de dados IHS'!$A$1:$V$676,MATCH($N69,'Base de dados IHS'!$C$1:$C$676,0),MATCH($R$1,'Base de dados IHS'!$A$1:$V$1,0))</f>
        <v>2.0530805127739558E-3</v>
      </c>
      <c r="S69" s="131">
        <f>INDEX('Base de dados IHS'!$A$1:$V$676,MATCH($N69,'Base de dados IHS'!$C$1:$C$676,0),MATCH($S$1,'Base de dados IHS'!$A$1:$V$1,0))</f>
        <v>-2.6631586060059734E-4</v>
      </c>
      <c r="T69" t="str">
        <f>IF(Q69&lt;'Cenario A ranking setor PIB'!$G$100,"N","Y")</f>
        <v>N</v>
      </c>
    </row>
    <row r="70" spans="1:20" hidden="1" x14ac:dyDescent="0.45">
      <c r="A70" s="293" t="s">
        <v>158</v>
      </c>
      <c r="B70" s="297" t="s">
        <v>2</v>
      </c>
      <c r="C70" s="297" t="s">
        <v>958</v>
      </c>
      <c r="D70" s="311">
        <v>105.75926762</v>
      </c>
      <c r="E70" s="311">
        <v>119.65819148999999</v>
      </c>
      <c r="F70" s="302">
        <f t="shared" si="6"/>
        <v>0.13142038691058011</v>
      </c>
      <c r="G70" s="311">
        <v>104.9052827</v>
      </c>
      <c r="H70" s="311">
        <v>119.65819148999999</v>
      </c>
      <c r="I70" s="302">
        <f t="shared" si="7"/>
        <v>0.1406307519535428</v>
      </c>
      <c r="J70" s="311">
        <v>128.38274387999999</v>
      </c>
      <c r="K70" s="311">
        <v>144.49697649999999</v>
      </c>
      <c r="L70" s="311">
        <v>158.84284489000001</v>
      </c>
      <c r="M70" s="312">
        <v>201.74223139</v>
      </c>
      <c r="N70" t="str">
        <f t="shared" si="8"/>
        <v>GhanaManufacture of basic pharmaceutical products and pharmaceutical preparations (C21)</v>
      </c>
      <c r="O70" s="11">
        <f>INDEX('Base de dados IHS'!$A$1:$V$676,MATCH($N70,'Base de dados IHS'!$C$1:$C$676,0),MATCH($O$1,'Base de dados IHS'!$A$1:$V$1,0))</f>
        <v>54050.698328470004</v>
      </c>
      <c r="P70" s="11">
        <f>INDEX('Base de dados IHS'!$A$1:$V$676,MATCH($N70,'Base de dados IHS'!$C$1:$C$676,0),MATCH($P$1,'Base de dados IHS'!$A$1:$V$1,0))</f>
        <v>72367.878986030002</v>
      </c>
      <c r="Q70" s="131">
        <f>INDEX('Base de dados IHS'!$A$1:$V$676,MATCH($N70,'Base de dados IHS'!$C$1:$C$676,0),MATCH($Q$1,'Base de dados IHS'!$A$1:$V$1,0))</f>
        <v>1.940868220841163E-3</v>
      </c>
      <c r="R70" s="131">
        <f>INDEX('Base de dados IHS'!$A$1:$V$676,MATCH($N70,'Base de dados IHS'!$C$1:$C$676,0),MATCH($R$1,'Base de dados IHS'!$A$1:$V$1,0))</f>
        <v>1.6534710311614767E-3</v>
      </c>
      <c r="S70" s="131">
        <f>INDEX('Base de dados IHS'!$A$1:$V$676,MATCH($N70,'Base de dados IHS'!$C$1:$C$676,0),MATCH($S$1,'Base de dados IHS'!$A$1:$V$1,0))</f>
        <v>-2.8739718967968624E-4</v>
      </c>
      <c r="T70" t="str">
        <f>IF(Q70&lt;'Cenario A ranking setor PIB'!$G$100,"N","Y")</f>
        <v>N</v>
      </c>
    </row>
    <row r="71" spans="1:20" x14ac:dyDescent="0.45">
      <c r="A71" s="294" t="s">
        <v>18</v>
      </c>
      <c r="B71" s="299" t="s">
        <v>2</v>
      </c>
      <c r="C71" s="297" t="s">
        <v>958</v>
      </c>
      <c r="D71" s="313">
        <v>10766.32158276</v>
      </c>
      <c r="E71" s="313">
        <v>8316.0853678900003</v>
      </c>
      <c r="F71" s="304">
        <f t="shared" si="6"/>
        <v>-0.22758341333529708</v>
      </c>
      <c r="G71" s="313">
        <v>8836.8574560199995</v>
      </c>
      <c r="H71" s="313">
        <v>8316.0853678900003</v>
      </c>
      <c r="I71" s="304">
        <f t="shared" si="7"/>
        <v>-5.8931819452992307E-2</v>
      </c>
      <c r="J71" s="313">
        <v>9124.9390801999998</v>
      </c>
      <c r="K71" s="313">
        <v>10239.839784690001</v>
      </c>
      <c r="L71" s="313">
        <v>11103.42100391</v>
      </c>
      <c r="M71" s="314">
        <v>13209.626625209999</v>
      </c>
      <c r="N71" t="str">
        <f t="shared" si="8"/>
        <v>BrazilManufacture of basic pharmaceutical products and pharmaceutical preparations (C21)</v>
      </c>
      <c r="O71" s="11">
        <f>INDEX('Base de dados IHS'!$A$1:$V$676,MATCH($N71,'Base de dados IHS'!$C$1:$C$676,0),MATCH($O$1,'Base de dados IHS'!$A$1:$V$1,0))</f>
        <v>1855726.8356911</v>
      </c>
      <c r="P71" s="11">
        <f>INDEX('Base de dados IHS'!$A$1:$V$676,MATCH($N71,'Base de dados IHS'!$C$1:$C$676,0),MATCH($P$1,'Base de dados IHS'!$A$1:$V$1,0))</f>
        <v>1898091.4722179</v>
      </c>
      <c r="Q71" s="131">
        <f>INDEX('Base de dados IHS'!$A$1:$V$676,MATCH($N71,'Base de dados IHS'!$C$1:$C$676,0),MATCH($Q$1,'Base de dados IHS'!$A$1:$V$1,0))</f>
        <v>4.7619387110544335E-3</v>
      </c>
      <c r="R71" s="131">
        <f>INDEX('Base de dados IHS'!$A$1:$V$676,MATCH($N71,'Base de dados IHS'!$C$1:$C$676,0),MATCH($R$1,'Base de dados IHS'!$A$1:$V$1,0))</f>
        <v>4.3812879882826417E-3</v>
      </c>
      <c r="S71" s="131">
        <f>INDEX('Base de dados IHS'!$A$1:$V$676,MATCH($N71,'Base de dados IHS'!$C$1:$C$676,0),MATCH($S$1,'Base de dados IHS'!$A$1:$V$1,0))</f>
        <v>-3.8065072277179181E-4</v>
      </c>
      <c r="T71" t="str">
        <f>IF(Q71&lt;'Cenario A ranking setor PIB'!$G$100,"N","Y")</f>
        <v>Y</v>
      </c>
    </row>
    <row r="72" spans="1:20" x14ac:dyDescent="0.45">
      <c r="A72" s="293" t="s">
        <v>74</v>
      </c>
      <c r="B72" s="297" t="s">
        <v>2</v>
      </c>
      <c r="C72" s="297" t="s">
        <v>958</v>
      </c>
      <c r="D72" s="311">
        <v>6247.9916030100003</v>
      </c>
      <c r="E72" s="311">
        <v>6040.1121167700003</v>
      </c>
      <c r="F72" s="302">
        <f t="shared" si="6"/>
        <v>-3.3271409350142722E-2</v>
      </c>
      <c r="G72" s="311">
        <v>5909.3978853899998</v>
      </c>
      <c r="H72" s="311">
        <v>6040.1121167700003</v>
      </c>
      <c r="I72" s="302">
        <f t="shared" si="7"/>
        <v>2.2119720809994803E-2</v>
      </c>
      <c r="J72" s="311">
        <v>8003.4098618300004</v>
      </c>
      <c r="K72" s="311">
        <v>9114.5704114399996</v>
      </c>
      <c r="L72" s="311">
        <v>9978.9977513899994</v>
      </c>
      <c r="M72" s="312">
        <v>12177.955455060001</v>
      </c>
      <c r="N72" t="str">
        <f t="shared" si="8"/>
        <v>SwedenManufacture of basic pharmaceutical products and pharmaceutical preparations (C21)</v>
      </c>
      <c r="O72" s="11">
        <f>INDEX('Base de dados IHS'!$A$1:$V$676,MATCH($N72,'Base de dados IHS'!$C$1:$C$676,0),MATCH($O$1,'Base de dados IHS'!$A$1:$V$1,0))</f>
        <v>490179.06760786998</v>
      </c>
      <c r="P72" s="11">
        <f>INDEX('Base de dados IHS'!$A$1:$V$676,MATCH($N72,'Base de dados IHS'!$C$1:$C$676,0),MATCH($P$1,'Base de dados IHS'!$A$1:$V$1,0))</f>
        <v>552840.30345001002</v>
      </c>
      <c r="Q72" s="131">
        <f>INDEX('Base de dados IHS'!$A$1:$V$676,MATCH($N72,'Base de dados IHS'!$C$1:$C$676,0),MATCH($Q$1,'Base de dados IHS'!$A$1:$V$1,0))</f>
        <v>1.2055590040244963E-2</v>
      </c>
      <c r="R72" s="131">
        <f>INDEX('Base de dados IHS'!$A$1:$V$676,MATCH($N72,'Base de dados IHS'!$C$1:$C$676,0),MATCH($R$1,'Base de dados IHS'!$A$1:$V$1,0))</f>
        <v>1.0925600176174874E-2</v>
      </c>
      <c r="S72" s="131">
        <f>INDEX('Base de dados IHS'!$A$1:$V$676,MATCH($N72,'Base de dados IHS'!$C$1:$C$676,0),MATCH($S$1,'Base de dados IHS'!$A$1:$V$1,0))</f>
        <v>-1.1299898640700894E-3</v>
      </c>
      <c r="T72" t="str">
        <f>IF(Q72&lt;'Cenario A ranking setor PIB'!$G$100,"N","Y")</f>
        <v>Y</v>
      </c>
    </row>
    <row r="73" spans="1:20" x14ac:dyDescent="0.45">
      <c r="A73" s="293" t="s">
        <v>107</v>
      </c>
      <c r="B73" s="297" t="s">
        <v>2</v>
      </c>
      <c r="C73" s="297" t="s">
        <v>958</v>
      </c>
      <c r="D73" s="311">
        <v>1095.6816050699999</v>
      </c>
      <c r="E73" s="311">
        <v>1040.81563643</v>
      </c>
      <c r="F73" s="302">
        <f t="shared" si="6"/>
        <v>-5.0074737392798219E-2</v>
      </c>
      <c r="G73" s="311">
        <v>1133.5458679400001</v>
      </c>
      <c r="H73" s="311">
        <v>1040.81563643</v>
      </c>
      <c r="I73" s="302">
        <f t="shared" si="7"/>
        <v>-8.1805451488715875E-2</v>
      </c>
      <c r="J73" s="311">
        <v>1277.95936519</v>
      </c>
      <c r="K73" s="311">
        <v>1427.6052800299999</v>
      </c>
      <c r="L73" s="311">
        <v>1496.7934920499999</v>
      </c>
      <c r="M73" s="312">
        <v>1672.2571124000001</v>
      </c>
      <c r="N73" t="str">
        <f t="shared" si="8"/>
        <v>IranManufacture of basic pharmaceutical products and pharmaceutical preparations (C21)</v>
      </c>
      <c r="O73" s="11">
        <f>INDEX('Base de dados IHS'!$A$1:$V$676,MATCH($N73,'Base de dados IHS'!$C$1:$C$676,0),MATCH($O$1,'Base de dados IHS'!$A$1:$V$1,0))</f>
        <v>195024.47923529</v>
      </c>
      <c r="P73" s="11">
        <f>INDEX('Base de dados IHS'!$A$1:$V$676,MATCH($N73,'Base de dados IHS'!$C$1:$C$676,0),MATCH($P$1,'Base de dados IHS'!$A$1:$V$1,0))</f>
        <v>224406.94908081999</v>
      </c>
      <c r="Q73" s="131">
        <f>INDEX('Base de dados IHS'!$A$1:$V$676,MATCH($N73,'Base de dados IHS'!$C$1:$C$676,0),MATCH($Q$1,'Base de dados IHS'!$A$1:$V$1,0))</f>
        <v>5.8123260853444863E-3</v>
      </c>
      <c r="R73" s="131">
        <f>INDEX('Base de dados IHS'!$A$1:$V$676,MATCH($N73,'Base de dados IHS'!$C$1:$C$676,0),MATCH($R$1,'Base de dados IHS'!$A$1:$V$1,0))</f>
        <v>4.6380722196581849E-3</v>
      </c>
      <c r="S73" s="131">
        <f>INDEX('Base de dados IHS'!$A$1:$V$676,MATCH($N73,'Base de dados IHS'!$C$1:$C$676,0),MATCH($S$1,'Base de dados IHS'!$A$1:$V$1,0))</f>
        <v>-1.1742538656863014E-3</v>
      </c>
      <c r="T73" t="str">
        <f>IF(Q73&lt;'Cenario A ranking setor PIB'!$G$100,"N","Y")</f>
        <v>Y</v>
      </c>
    </row>
    <row r="74" spans="1:20" x14ac:dyDescent="0.45">
      <c r="A74" s="293" t="s">
        <v>113</v>
      </c>
      <c r="B74" s="297" t="s">
        <v>2</v>
      </c>
      <c r="C74" s="297" t="s">
        <v>958</v>
      </c>
      <c r="D74" s="311">
        <v>1950.57287253</v>
      </c>
      <c r="E74" s="311">
        <v>1707.79984276</v>
      </c>
      <c r="F74" s="302">
        <f t="shared" si="6"/>
        <v>-0.12446242495678206</v>
      </c>
      <c r="G74" s="311">
        <v>1614.5796975400001</v>
      </c>
      <c r="H74" s="311">
        <v>1707.79984276</v>
      </c>
      <c r="I74" s="302">
        <f t="shared" si="7"/>
        <v>5.7736478020893989E-2</v>
      </c>
      <c r="J74" s="311">
        <v>1828.47625232</v>
      </c>
      <c r="K74" s="311">
        <v>1949.82311626</v>
      </c>
      <c r="L74" s="311">
        <v>2177.7699182699998</v>
      </c>
      <c r="M74" s="312">
        <v>2423.0836081699999</v>
      </c>
      <c r="N74" t="str">
        <f t="shared" si="8"/>
        <v>HungaryManufacture of basic pharmaceutical products and pharmaceutical preparations (C21)</v>
      </c>
      <c r="O74" s="11">
        <f>INDEX('Base de dados IHS'!$A$1:$V$676,MATCH($N74,'Base de dados IHS'!$C$1:$C$676,0),MATCH($O$1,'Base de dados IHS'!$A$1:$V$1,0))</f>
        <v>139098.07965294999</v>
      </c>
      <c r="P74" s="11">
        <f>INDEX('Base de dados IHS'!$A$1:$V$676,MATCH($N74,'Base de dados IHS'!$C$1:$C$676,0),MATCH($P$1,'Base de dados IHS'!$A$1:$V$1,0))</f>
        <v>167320.49519441</v>
      </c>
      <c r="Q74" s="131">
        <f>INDEX('Base de dados IHS'!$A$1:$V$676,MATCH($N74,'Base de dados IHS'!$C$1:$C$676,0),MATCH($Q$1,'Base de dados IHS'!$A$1:$V$1,0))</f>
        <v>1.1607490927037813E-2</v>
      </c>
      <c r="R74" s="131">
        <f>INDEX('Base de dados IHS'!$A$1:$V$676,MATCH($N74,'Base de dados IHS'!$C$1:$C$676,0),MATCH($R$1,'Base de dados IHS'!$A$1:$V$1,0))</f>
        <v>1.0206758238288167E-2</v>
      </c>
      <c r="S74" s="131">
        <f>INDEX('Base de dados IHS'!$A$1:$V$676,MATCH($N74,'Base de dados IHS'!$C$1:$C$676,0),MATCH($S$1,'Base de dados IHS'!$A$1:$V$1,0))</f>
        <v>-1.4007326887496459E-3</v>
      </c>
      <c r="T74" t="str">
        <f>IF(Q74&lt;'Cenario A ranking setor PIB'!$G$100,"N","Y")</f>
        <v>Y</v>
      </c>
    </row>
    <row r="75" spans="1:20" x14ac:dyDescent="0.45">
      <c r="A75" s="293" t="s">
        <v>146</v>
      </c>
      <c r="B75" s="297" t="s">
        <v>2</v>
      </c>
      <c r="C75" s="297" t="s">
        <v>958</v>
      </c>
      <c r="D75" s="311">
        <v>1857.7191740599999</v>
      </c>
      <c r="E75" s="311">
        <v>2079.9295122200001</v>
      </c>
      <c r="F75" s="302">
        <f t="shared" si="6"/>
        <v>0.1196146012071162</v>
      </c>
      <c r="G75" s="311">
        <v>2318.0481391399999</v>
      </c>
      <c r="H75" s="311">
        <v>2079.9295122200001</v>
      </c>
      <c r="I75" s="302">
        <f t="shared" si="7"/>
        <v>-0.10272376267748362</v>
      </c>
      <c r="J75" s="311">
        <v>2110.24424236</v>
      </c>
      <c r="K75" s="311">
        <v>2485.64359887</v>
      </c>
      <c r="L75" s="311">
        <v>2767.9846299300002</v>
      </c>
      <c r="M75" s="312">
        <v>3576.0283660300001</v>
      </c>
      <c r="N75" t="str">
        <f t="shared" si="8"/>
        <v>EgyptManufacture of basic pharmaceutical products and pharmaceutical preparations (C21)</v>
      </c>
      <c r="O75" s="11">
        <f>INDEX('Base de dados IHS'!$A$1:$V$676,MATCH($N75,'Base de dados IHS'!$C$1:$C$676,0),MATCH($O$1,'Base de dados IHS'!$A$1:$V$1,0))</f>
        <v>276522.47435759002</v>
      </c>
      <c r="P75" s="11">
        <f>INDEX('Base de dados IHS'!$A$1:$V$676,MATCH($N75,'Base de dados IHS'!$C$1:$C$676,0),MATCH($P$1,'Base de dados IHS'!$A$1:$V$1,0))</f>
        <v>357883.01385108999</v>
      </c>
      <c r="Q75" s="131">
        <f>INDEX('Base de dados IHS'!$A$1:$V$676,MATCH($N75,'Base de dados IHS'!$C$1:$C$676,0),MATCH($Q$1,'Base de dados IHS'!$A$1:$V$1,0))</f>
        <v>8.3828562019243845E-3</v>
      </c>
      <c r="R75" s="131">
        <f>INDEX('Base de dados IHS'!$A$1:$V$676,MATCH($N75,'Base de dados IHS'!$C$1:$C$676,0),MATCH($R$1,'Base de dados IHS'!$A$1:$V$1,0))</f>
        <v>5.8117581212877266E-3</v>
      </c>
      <c r="S75" s="131">
        <f>INDEX('Base de dados IHS'!$A$1:$V$676,MATCH($N75,'Base de dados IHS'!$C$1:$C$676,0),MATCH($S$1,'Base de dados IHS'!$A$1:$V$1,0))</f>
        <v>-2.5710980806366579E-3</v>
      </c>
      <c r="T75" t="str">
        <f>IF(Q75&lt;'Cenario A ranking setor PIB'!$G$100,"N","Y")</f>
        <v>Y</v>
      </c>
    </row>
    <row r="76" spans="1:20" x14ac:dyDescent="0.45">
      <c r="A76" s="293" t="s">
        <v>123</v>
      </c>
      <c r="B76" s="297" t="s">
        <v>2</v>
      </c>
      <c r="C76" s="297" t="s">
        <v>958</v>
      </c>
      <c r="D76" s="311">
        <v>2734.5951124399999</v>
      </c>
      <c r="E76" s="311">
        <v>1833.06603625</v>
      </c>
      <c r="F76" s="302">
        <f t="shared" si="6"/>
        <v>-0.32967552384220844</v>
      </c>
      <c r="G76" s="311">
        <v>2961.52365401</v>
      </c>
      <c r="H76" s="311">
        <v>1833.06603625</v>
      </c>
      <c r="I76" s="302">
        <f t="shared" si="7"/>
        <v>-0.38103954234234505</v>
      </c>
      <c r="J76" s="311">
        <v>2009.74165522</v>
      </c>
      <c r="K76" s="311">
        <v>2185.40539537</v>
      </c>
      <c r="L76" s="311">
        <v>2320.2313982000001</v>
      </c>
      <c r="M76" s="312">
        <v>2680.0991943899999</v>
      </c>
      <c r="N76" t="str">
        <f t="shared" si="8"/>
        <v>IsraelManufacture of basic pharmaceutical products and pharmaceutical preparations (C21)</v>
      </c>
      <c r="O76" s="11">
        <f>INDEX('Base de dados IHS'!$A$1:$V$676,MATCH($N76,'Base de dados IHS'!$C$1:$C$676,0),MATCH($O$1,'Base de dados IHS'!$A$1:$V$1,0))</f>
        <v>339252.33917334001</v>
      </c>
      <c r="P76" s="11">
        <f>INDEX('Base de dados IHS'!$A$1:$V$676,MATCH($N76,'Base de dados IHS'!$C$1:$C$676,0),MATCH($P$1,'Base de dados IHS'!$A$1:$V$1,0))</f>
        <v>430314.68651226</v>
      </c>
      <c r="Q76" s="131">
        <f>INDEX('Base de dados IHS'!$A$1:$V$676,MATCH($N76,'Base de dados IHS'!$C$1:$C$676,0),MATCH($Q$1,'Base de dados IHS'!$A$1:$V$1,0))</f>
        <v>8.7295600119556369E-3</v>
      </c>
      <c r="R76" s="131">
        <f>INDEX('Base de dados IHS'!$A$1:$V$676,MATCH($N76,'Base de dados IHS'!$C$1:$C$676,0),MATCH($R$1,'Base de dados IHS'!$A$1:$V$1,0))</f>
        <v>4.2598268051392075E-3</v>
      </c>
      <c r="S76" s="131">
        <f>INDEX('Base de dados IHS'!$A$1:$V$676,MATCH($N76,'Base de dados IHS'!$C$1:$C$676,0),MATCH($S$1,'Base de dados IHS'!$A$1:$V$1,0))</f>
        <v>-4.4697332068164295E-3</v>
      </c>
      <c r="T76" t="str">
        <f>IF(Q76&lt;'Cenario A ranking setor PIB'!$G$100,"N","Y")</f>
        <v>Y</v>
      </c>
    </row>
  </sheetData>
  <autoFilter ref="A1:T76" xr:uid="{ECCDA2B8-A7F6-4123-9FA2-1522654E7845}">
    <filterColumn colId="19">
      <filters>
        <filter val="Y"/>
      </filters>
    </filterColumn>
    <sortState xmlns:xlrd2="http://schemas.microsoft.com/office/spreadsheetml/2017/richdata2" ref="A2:T76">
      <sortCondition descending="1" ref="S1:S7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EEDB-D158-4988-9BD7-58C5BA1C4C64}">
  <sheetPr filterMode="1">
    <tabColor theme="4" tint="-0.249977111117893"/>
  </sheetPr>
  <dimension ref="A1:T76"/>
  <sheetViews>
    <sheetView workbookViewId="0"/>
  </sheetViews>
  <sheetFormatPr defaultColWidth="8.86328125" defaultRowHeight="14.25" x14ac:dyDescent="0.45"/>
  <sheetData>
    <row r="1" spans="1:20" x14ac:dyDescent="0.4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933</v>
      </c>
      <c r="O1" s="334" t="s">
        <v>928</v>
      </c>
      <c r="P1" s="334" t="s">
        <v>929</v>
      </c>
      <c r="Q1" s="334" t="s">
        <v>930</v>
      </c>
      <c r="R1" s="334" t="s">
        <v>931</v>
      </c>
      <c r="S1" s="334" t="s">
        <v>932</v>
      </c>
      <c r="T1" s="334" t="s">
        <v>1057</v>
      </c>
    </row>
    <row r="2" spans="1:20" x14ac:dyDescent="0.45">
      <c r="A2" s="293" t="s">
        <v>168</v>
      </c>
      <c r="B2" s="297" t="s">
        <v>8</v>
      </c>
      <c r="C2" s="297" t="s">
        <v>958</v>
      </c>
      <c r="D2" s="311">
        <v>621.94840412999997</v>
      </c>
      <c r="E2" s="311">
        <v>794.22978403000002</v>
      </c>
      <c r="F2" s="302">
        <f t="shared" ref="F2:F33" si="0">H2/D2-1</f>
        <v>0.2770026882551333</v>
      </c>
      <c r="G2" s="311">
        <v>697.60504298000001</v>
      </c>
      <c r="H2" s="311">
        <v>794.22978403000002</v>
      </c>
      <c r="I2" s="302">
        <f t="shared" ref="I2:I33" si="1">H2/G2-1</f>
        <v>0.1385092353077646</v>
      </c>
      <c r="J2" s="311">
        <v>979.47592626000005</v>
      </c>
      <c r="K2" s="311">
        <v>1103.1797348499999</v>
      </c>
      <c r="L2" s="311">
        <v>1199.1007524300001</v>
      </c>
      <c r="M2" s="312">
        <v>1440.0979982700001</v>
      </c>
      <c r="N2" t="str">
        <f t="shared" ref="N2:N33" si="2">A2&amp;B2</f>
        <v>TunisiaManufacture of other transport equipment (C30)</v>
      </c>
      <c r="O2" s="11">
        <f>INDEX('Base de dados IHS'!$A$1:$V$676,MATCH($N2,'Base de dados IHS'!$C$1:$C$676,0),MATCH($O$1,'Base de dados IHS'!$A$1:$V$1,0))</f>
        <v>38884.65391288</v>
      </c>
      <c r="P2" s="11">
        <f>INDEX('Base de dados IHS'!$A$1:$V$676,MATCH($N2,'Base de dados IHS'!$C$1:$C$676,0),MATCH($P$1,'Base de dados IHS'!$A$1:$V$1,0))</f>
        <v>40072.692608359997</v>
      </c>
      <c r="Q2" s="131">
        <f>INDEX('Base de dados IHS'!$A$1:$V$676,MATCH($N2,'Base de dados IHS'!$C$1:$C$676,0),MATCH($Q$1,'Base de dados IHS'!$A$1:$V$1,0))</f>
        <v>1.7940369086040086E-2</v>
      </c>
      <c r="R2" s="131">
        <f>INDEX('Base de dados IHS'!$A$1:$V$676,MATCH($N2,'Base de dados IHS'!$C$1:$C$676,0),MATCH($R$1,'Base de dados IHS'!$A$1:$V$1,0))</f>
        <v>1.981972591141298E-2</v>
      </c>
      <c r="S2" s="131">
        <f>INDEX('Base de dados IHS'!$A$1:$V$676,MATCH($N2,'Base de dados IHS'!$C$1:$C$676,0),MATCH($S$1,'Base de dados IHS'!$A$1:$V$1,0))</f>
        <v>1.8793568253728937E-3</v>
      </c>
      <c r="T2" t="str">
        <f>IF(Q2&lt;'Cenario A ranking setor PIB'!$G$114,"N","Y")</f>
        <v>Y</v>
      </c>
    </row>
    <row r="3" spans="1:20" x14ac:dyDescent="0.45">
      <c r="A3" s="293" t="s">
        <v>76</v>
      </c>
      <c r="B3" s="297" t="s">
        <v>8</v>
      </c>
      <c r="C3" s="297" t="s">
        <v>958</v>
      </c>
      <c r="D3" s="311">
        <v>16251.837974530001</v>
      </c>
      <c r="E3" s="311">
        <v>15841.80885908</v>
      </c>
      <c r="F3" s="302">
        <f t="shared" si="0"/>
        <v>-2.5229707316341776E-2</v>
      </c>
      <c r="G3" s="311">
        <v>11233.76345778</v>
      </c>
      <c r="H3" s="311">
        <v>15841.80885908</v>
      </c>
      <c r="I3" s="302">
        <f t="shared" si="1"/>
        <v>0.4101960503813773</v>
      </c>
      <c r="J3" s="311">
        <v>16253.317220069999</v>
      </c>
      <c r="K3" s="311">
        <v>16975.1306941</v>
      </c>
      <c r="L3" s="311">
        <v>17370.87511189</v>
      </c>
      <c r="M3" s="312">
        <v>18567.323274480001</v>
      </c>
      <c r="N3" t="str">
        <f t="shared" si="2"/>
        <v>United KingdomManufacture of other transport equipment (C30)</v>
      </c>
      <c r="O3" s="11">
        <f>INDEX('Base de dados IHS'!$A$1:$V$676,MATCH($N3,'Base de dados IHS'!$C$1:$C$676,0),MATCH($O$1,'Base de dados IHS'!$A$1:$V$1,0))</f>
        <v>2643868.3114987002</v>
      </c>
      <c r="P3" s="11">
        <f>INDEX('Base de dados IHS'!$A$1:$V$676,MATCH($N3,'Base de dados IHS'!$C$1:$C$676,0),MATCH($P$1,'Base de dados IHS'!$A$1:$V$1,0))</f>
        <v>2777419.6130784</v>
      </c>
      <c r="Q3" s="131">
        <f>INDEX('Base de dados IHS'!$A$1:$V$676,MATCH($N3,'Base de dados IHS'!$C$1:$C$676,0),MATCH($Q$1,'Base de dados IHS'!$A$1:$V$1,0))</f>
        <v>4.2489875191295146E-3</v>
      </c>
      <c r="R3" s="131">
        <f>INDEX('Base de dados IHS'!$A$1:$V$676,MATCH($N3,'Base de dados IHS'!$C$1:$C$676,0),MATCH($R$1,'Base de dados IHS'!$A$1:$V$1,0))</f>
        <v>5.7037866314775037E-3</v>
      </c>
      <c r="S3" s="131">
        <f>INDEX('Base de dados IHS'!$A$1:$V$676,MATCH($N3,'Base de dados IHS'!$C$1:$C$676,0),MATCH($S$1,'Base de dados IHS'!$A$1:$V$1,0))</f>
        <v>1.4547991123479891E-3</v>
      </c>
      <c r="T3" t="str">
        <f>IF(Q3&lt;'Cenario A ranking setor PIB'!$G$114,"N","Y")</f>
        <v>Y</v>
      </c>
    </row>
    <row r="4" spans="1:20" hidden="1" x14ac:dyDescent="0.45">
      <c r="A4" s="293" t="s">
        <v>72</v>
      </c>
      <c r="B4" s="297" t="s">
        <v>8</v>
      </c>
      <c r="C4" s="297" t="s">
        <v>958</v>
      </c>
      <c r="D4" s="311">
        <v>877.65928478000001</v>
      </c>
      <c r="E4" s="311">
        <v>1569.3293025299999</v>
      </c>
      <c r="F4" s="302">
        <f t="shared" si="0"/>
        <v>0.78808488640711927</v>
      </c>
      <c r="G4" s="311">
        <v>913.48151987999995</v>
      </c>
      <c r="H4" s="311">
        <v>1569.3293025299999</v>
      </c>
      <c r="I4" s="302">
        <f t="shared" si="1"/>
        <v>0.71796502542947538</v>
      </c>
      <c r="J4" s="311">
        <v>1885.0562264800001</v>
      </c>
      <c r="K4" s="311">
        <v>1985.91163149</v>
      </c>
      <c r="L4" s="311">
        <v>2135.1323845100001</v>
      </c>
      <c r="M4" s="312">
        <v>2201.17521622</v>
      </c>
      <c r="N4" t="str">
        <f t="shared" si="2"/>
        <v>AustriaManufacture of other transport equipment (C30)</v>
      </c>
      <c r="O4" s="11">
        <f>INDEX('Base de dados IHS'!$A$1:$V$676,MATCH($N4,'Base de dados IHS'!$C$1:$C$676,0),MATCH($O$1,'Base de dados IHS'!$A$1:$V$1,0))</f>
        <v>410010.85265116999</v>
      </c>
      <c r="P4" s="11">
        <f>INDEX('Base de dados IHS'!$A$1:$V$676,MATCH($N4,'Base de dados IHS'!$C$1:$C$676,0),MATCH($P$1,'Base de dados IHS'!$A$1:$V$1,0))</f>
        <v>432694.04992214998</v>
      </c>
      <c r="Q4" s="131">
        <f>INDEX('Base de dados IHS'!$A$1:$V$676,MATCH($N4,'Base de dados IHS'!$C$1:$C$676,0),MATCH($Q$1,'Base de dados IHS'!$A$1:$V$1,0))</f>
        <v>2.2279447335926349E-3</v>
      </c>
      <c r="R4" s="131">
        <f>INDEX('Base de dados IHS'!$A$1:$V$676,MATCH($N4,'Base de dados IHS'!$C$1:$C$676,0),MATCH($R$1,'Base de dados IHS'!$A$1:$V$1,0))</f>
        <v>3.6268797844859492E-3</v>
      </c>
      <c r="S4" s="131">
        <f>INDEX('Base de dados IHS'!$A$1:$V$676,MATCH($N4,'Base de dados IHS'!$C$1:$C$676,0),MATCH($S$1,'Base de dados IHS'!$A$1:$V$1,0))</f>
        <v>1.3989350508933143E-3</v>
      </c>
      <c r="T4" t="str">
        <f>IF(Q4&lt;'Cenario A ranking setor PIB'!$G$114,"N","Y")</f>
        <v>N</v>
      </c>
    </row>
    <row r="5" spans="1:20" x14ac:dyDescent="0.45">
      <c r="A5" s="293" t="s">
        <v>124</v>
      </c>
      <c r="B5" s="297" t="s">
        <v>8</v>
      </c>
      <c r="C5" s="297" t="s">
        <v>958</v>
      </c>
      <c r="D5" s="311">
        <v>660.67175170999997</v>
      </c>
      <c r="E5" s="311">
        <v>2150.2559152099998</v>
      </c>
      <c r="F5" s="302">
        <f t="shared" si="0"/>
        <v>2.254650905906824</v>
      </c>
      <c r="G5" s="311">
        <v>1165.15567119</v>
      </c>
      <c r="H5" s="311">
        <v>2150.2559152099998</v>
      </c>
      <c r="I5" s="302">
        <f t="shared" si="1"/>
        <v>0.84546663452609261</v>
      </c>
      <c r="J5" s="311">
        <v>3283.6126128999999</v>
      </c>
      <c r="K5" s="311">
        <v>4288.2759971699998</v>
      </c>
      <c r="L5" s="311">
        <v>5124.3378536800001</v>
      </c>
      <c r="M5" s="312">
        <v>7415.8341154399996</v>
      </c>
      <c r="N5" t="str">
        <f t="shared" si="2"/>
        <v>BangladeshManufacture of other transport equipment (C30)</v>
      </c>
      <c r="O5" s="11">
        <f>INDEX('Base de dados IHS'!$A$1:$V$676,MATCH($N5,'Base de dados IHS'!$C$1:$C$676,0),MATCH($O$1,'Base de dados IHS'!$A$1:$V$1,0))</f>
        <v>264392.25455249997</v>
      </c>
      <c r="P5" s="11">
        <f>INDEX('Base de dados IHS'!$A$1:$V$676,MATCH($N5,'Base de dados IHS'!$C$1:$C$676,0),MATCH($P$1,'Base de dados IHS'!$A$1:$V$1,0))</f>
        <v>386628.84638325998</v>
      </c>
      <c r="Q5" s="131">
        <f>INDEX('Base de dados IHS'!$A$1:$V$676,MATCH($N5,'Base de dados IHS'!$C$1:$C$676,0),MATCH($Q$1,'Base de dados IHS'!$A$1:$V$1,0))</f>
        <v>4.4069205928974628E-3</v>
      </c>
      <c r="R5" s="131">
        <f>INDEX('Base de dados IHS'!$A$1:$V$676,MATCH($N5,'Base de dados IHS'!$C$1:$C$676,0),MATCH($R$1,'Base de dados IHS'!$A$1:$V$1,0))</f>
        <v>5.5615506585312575E-3</v>
      </c>
      <c r="S5" s="131">
        <f>INDEX('Base de dados IHS'!$A$1:$V$676,MATCH($N5,'Base de dados IHS'!$C$1:$C$676,0),MATCH($S$1,'Base de dados IHS'!$A$1:$V$1,0))</f>
        <v>1.1546300656337946E-3</v>
      </c>
      <c r="T5" t="str">
        <f>IF(Q5&lt;'Cenario A ranking setor PIB'!$G$114,"N","Y")</f>
        <v>Y</v>
      </c>
    </row>
    <row r="6" spans="1:20" hidden="1" x14ac:dyDescent="0.45">
      <c r="A6" s="293" t="s">
        <v>108</v>
      </c>
      <c r="B6" s="297" t="s">
        <v>8</v>
      </c>
      <c r="C6" s="297" t="s">
        <v>958</v>
      </c>
      <c r="D6" s="311">
        <v>881.49944054000002</v>
      </c>
      <c r="E6" s="311">
        <v>2631.4612114800002</v>
      </c>
      <c r="F6" s="302">
        <f t="shared" si="0"/>
        <v>1.9852103024228653</v>
      </c>
      <c r="G6" s="311">
        <v>1436.25453851</v>
      </c>
      <c r="H6" s="311">
        <v>2631.4612114800002</v>
      </c>
      <c r="I6" s="302">
        <f t="shared" si="1"/>
        <v>0.83216911830261808</v>
      </c>
      <c r="J6" s="311">
        <v>4080.8010612899998</v>
      </c>
      <c r="K6" s="311">
        <v>4316.5116561300001</v>
      </c>
      <c r="L6" s="311">
        <v>4466.76409934</v>
      </c>
      <c r="M6" s="312">
        <v>5028.9310973900001</v>
      </c>
      <c r="N6" t="str">
        <f t="shared" si="2"/>
        <v>TurkeyManufacture of other transport equipment (C30)</v>
      </c>
      <c r="O6" s="11">
        <f>INDEX('Base de dados IHS'!$A$1:$V$676,MATCH($N6,'Base de dados IHS'!$C$1:$C$676,0),MATCH($O$1,'Base de dados IHS'!$A$1:$V$1,0))</f>
        <v>659235.83503077005</v>
      </c>
      <c r="P6" s="11">
        <f>INDEX('Base de dados IHS'!$A$1:$V$676,MATCH($N6,'Base de dados IHS'!$C$1:$C$676,0),MATCH($P$1,'Base de dados IHS'!$A$1:$V$1,0))</f>
        <v>865088.75381619995</v>
      </c>
      <c r="Q6" s="131">
        <f>INDEX('Base de dados IHS'!$A$1:$V$676,MATCH($N6,'Base de dados IHS'!$C$1:$C$676,0),MATCH($Q$1,'Base de dados IHS'!$A$1:$V$1,0))</f>
        <v>2.1786657553938375E-3</v>
      </c>
      <c r="R6" s="131">
        <f>INDEX('Base de dados IHS'!$A$1:$V$676,MATCH($N6,'Base de dados IHS'!$C$1:$C$676,0),MATCH($R$1,'Base de dados IHS'!$A$1:$V$1,0))</f>
        <v>3.0418395798948168E-3</v>
      </c>
      <c r="S6" s="131">
        <f>INDEX('Base de dados IHS'!$A$1:$V$676,MATCH($N6,'Base de dados IHS'!$C$1:$C$676,0),MATCH($S$1,'Base de dados IHS'!$A$1:$V$1,0))</f>
        <v>8.6317382450097927E-4</v>
      </c>
      <c r="T6" t="str">
        <f>IF(Q6&lt;'Cenario A ranking setor PIB'!$G$114,"N","Y")</f>
        <v>N</v>
      </c>
    </row>
    <row r="7" spans="1:20" hidden="1" x14ac:dyDescent="0.45">
      <c r="A7" s="293" t="s">
        <v>159</v>
      </c>
      <c r="B7" s="297" t="s">
        <v>8</v>
      </c>
      <c r="C7" s="297" t="s">
        <v>958</v>
      </c>
      <c r="D7" s="311">
        <v>474.06230913000002</v>
      </c>
      <c r="E7" s="311">
        <v>459.25100182</v>
      </c>
      <c r="F7" s="302">
        <f t="shared" si="0"/>
        <v>-3.1243376713879112E-2</v>
      </c>
      <c r="G7" s="311">
        <v>397.19771985</v>
      </c>
      <c r="H7" s="311">
        <v>459.25100182</v>
      </c>
      <c r="I7" s="302">
        <f t="shared" si="1"/>
        <v>0.15622768930656039</v>
      </c>
      <c r="J7" s="311">
        <v>571.70619771999998</v>
      </c>
      <c r="K7" s="311">
        <v>608.81230850999998</v>
      </c>
      <c r="L7" s="311">
        <v>627.02198734000001</v>
      </c>
      <c r="M7" s="312">
        <v>671.65544180999996</v>
      </c>
      <c r="N7" t="str">
        <f t="shared" si="2"/>
        <v>KuwaitManufacture of other transport equipment (C30)</v>
      </c>
      <c r="O7" s="11">
        <f>INDEX('Base de dados IHS'!$A$1:$V$676,MATCH($N7,'Base de dados IHS'!$C$1:$C$676,0),MATCH($O$1,'Base de dados IHS'!$A$1:$V$1,0))</f>
        <v>136318.13330372999</v>
      </c>
      <c r="P7" s="11">
        <f>INDEX('Base de dados IHS'!$A$1:$V$676,MATCH($N7,'Base de dados IHS'!$C$1:$C$676,0),MATCH($P$1,'Base de dados IHS'!$A$1:$V$1,0))</f>
        <v>128320.86664452001</v>
      </c>
      <c r="Q7" s="131">
        <f>INDEX('Base de dados IHS'!$A$1:$V$676,MATCH($N7,'Base de dados IHS'!$C$1:$C$676,0),MATCH($Q$1,'Base de dados IHS'!$A$1:$V$1,0))</f>
        <v>2.9137555673903271E-3</v>
      </c>
      <c r="R7" s="131">
        <f>INDEX('Base de dados IHS'!$A$1:$V$676,MATCH($N7,'Base de dados IHS'!$C$1:$C$676,0),MATCH($R$1,'Base de dados IHS'!$A$1:$V$1,0))</f>
        <v>3.578926902763499E-3</v>
      </c>
      <c r="S7" s="131">
        <f>INDEX('Base de dados IHS'!$A$1:$V$676,MATCH($N7,'Base de dados IHS'!$C$1:$C$676,0),MATCH($S$1,'Base de dados IHS'!$A$1:$V$1,0))</f>
        <v>6.6517133537317193E-4</v>
      </c>
      <c r="T7" t="str">
        <f>IF(Q7&lt;'Cenario A ranking setor PIB'!$G$114,"N","Y")</f>
        <v>N</v>
      </c>
    </row>
    <row r="8" spans="1:20" hidden="1" x14ac:dyDescent="0.45">
      <c r="A8" s="293" t="s">
        <v>163</v>
      </c>
      <c r="B8" s="297" t="s">
        <v>8</v>
      </c>
      <c r="C8" s="297" t="s">
        <v>958</v>
      </c>
      <c r="D8" s="311">
        <v>405.07991971000001</v>
      </c>
      <c r="E8" s="311">
        <v>612.95294137999997</v>
      </c>
      <c r="F8" s="302">
        <f t="shared" si="0"/>
        <v>0.51316545589032891</v>
      </c>
      <c r="G8" s="311">
        <v>382.36478440000002</v>
      </c>
      <c r="H8" s="311">
        <v>612.95294137999997</v>
      </c>
      <c r="I8" s="302">
        <f t="shared" si="1"/>
        <v>0.60305803878313413</v>
      </c>
      <c r="J8" s="311">
        <v>604.88586950000001</v>
      </c>
      <c r="K8" s="311">
        <v>632.74354324000001</v>
      </c>
      <c r="L8" s="311">
        <v>655.71648546999995</v>
      </c>
      <c r="M8" s="312">
        <v>710.84455515000002</v>
      </c>
      <c r="N8" t="str">
        <f t="shared" si="2"/>
        <v>New ZealandManufacture of other transport equipment (C30)</v>
      </c>
      <c r="O8" s="11">
        <f>INDEX('Base de dados IHS'!$A$1:$V$676,MATCH($N8,'Base de dados IHS'!$C$1:$C$676,0),MATCH($O$1,'Base de dados IHS'!$A$1:$V$1,0))</f>
        <v>180884.85070677</v>
      </c>
      <c r="P8" s="11">
        <f>INDEX('Base de dados IHS'!$A$1:$V$676,MATCH($N8,'Base de dados IHS'!$C$1:$C$676,0),MATCH($P$1,'Base de dados IHS'!$A$1:$V$1,0))</f>
        <v>220909.49174857</v>
      </c>
      <c r="Q8" s="131">
        <f>INDEX('Base de dados IHS'!$A$1:$V$676,MATCH($N8,'Base de dados IHS'!$C$1:$C$676,0),MATCH($Q$1,'Base de dados IHS'!$A$1:$V$1,0))</f>
        <v>2.1138574231395774E-3</v>
      </c>
      <c r="R8" s="131">
        <f>INDEX('Base de dados IHS'!$A$1:$V$676,MATCH($N8,'Base de dados IHS'!$C$1:$C$676,0),MATCH($R$1,'Base de dados IHS'!$A$1:$V$1,0))</f>
        <v>2.7746790621275682E-3</v>
      </c>
      <c r="S8" s="131">
        <f>INDEX('Base de dados IHS'!$A$1:$V$676,MATCH($N8,'Base de dados IHS'!$C$1:$C$676,0),MATCH($S$1,'Base de dados IHS'!$A$1:$V$1,0))</f>
        <v>6.608216389879908E-4</v>
      </c>
      <c r="T8" t="str">
        <f>IF(Q8&lt;'Cenario A ranking setor PIB'!$G$114,"N","Y")</f>
        <v>N</v>
      </c>
    </row>
    <row r="9" spans="1:20" hidden="1" x14ac:dyDescent="0.45">
      <c r="A9" s="293" t="s">
        <v>113</v>
      </c>
      <c r="B9" s="297" t="s">
        <v>8</v>
      </c>
      <c r="C9" s="297" t="s">
        <v>958</v>
      </c>
      <c r="D9" s="311">
        <v>153.49272336000001</v>
      </c>
      <c r="E9" s="311">
        <v>300.07843909000002</v>
      </c>
      <c r="F9" s="302">
        <f t="shared" si="0"/>
        <v>0.95500107445614613</v>
      </c>
      <c r="G9" s="311">
        <v>177.63639001999999</v>
      </c>
      <c r="H9" s="311">
        <v>300.07843909000002</v>
      </c>
      <c r="I9" s="302">
        <f t="shared" si="1"/>
        <v>0.68928471838576733</v>
      </c>
      <c r="J9" s="311">
        <v>434.89597418</v>
      </c>
      <c r="K9" s="311">
        <v>504.17653818999997</v>
      </c>
      <c r="L9" s="311">
        <v>535.19518932999995</v>
      </c>
      <c r="M9" s="312">
        <v>640.63552191999997</v>
      </c>
      <c r="N9" t="str">
        <f t="shared" si="2"/>
        <v>HungaryManufacture of other transport equipment (C30)</v>
      </c>
      <c r="O9" s="11">
        <f>INDEX('Base de dados IHS'!$A$1:$V$676,MATCH($N9,'Base de dados IHS'!$C$1:$C$676,0),MATCH($O$1,'Base de dados IHS'!$A$1:$V$1,0))</f>
        <v>139098.07965294999</v>
      </c>
      <c r="P9" s="11">
        <f>INDEX('Base de dados IHS'!$A$1:$V$676,MATCH($N9,'Base de dados IHS'!$C$1:$C$676,0),MATCH($P$1,'Base de dados IHS'!$A$1:$V$1,0))</f>
        <v>167320.49519441</v>
      </c>
      <c r="Q9" s="131">
        <f>INDEX('Base de dados IHS'!$A$1:$V$676,MATCH($N9,'Base de dados IHS'!$C$1:$C$676,0),MATCH($Q$1,'Base de dados IHS'!$A$1:$V$1,0))</f>
        <v>1.2770585364169165E-3</v>
      </c>
      <c r="R9" s="131">
        <f>INDEX('Base de dados IHS'!$A$1:$V$676,MATCH($N9,'Base de dados IHS'!$C$1:$C$676,0),MATCH($R$1,'Base de dados IHS'!$A$1:$V$1,0))</f>
        <v>1.7934350405868589E-3</v>
      </c>
      <c r="S9" s="131">
        <f>INDEX('Base de dados IHS'!$A$1:$V$676,MATCH($N9,'Base de dados IHS'!$C$1:$C$676,0),MATCH($S$1,'Base de dados IHS'!$A$1:$V$1,0))</f>
        <v>5.1637650416994237E-4</v>
      </c>
      <c r="T9" t="str">
        <f>IF(Q9&lt;'Cenario A ranking setor PIB'!$G$114,"N","Y")</f>
        <v>N</v>
      </c>
    </row>
    <row r="10" spans="1:20" hidden="1" x14ac:dyDescent="0.45">
      <c r="A10" s="293" t="s">
        <v>160</v>
      </c>
      <c r="B10" s="297" t="s">
        <v>8</v>
      </c>
      <c r="C10" s="297" t="s">
        <v>958</v>
      </c>
      <c r="D10" s="311">
        <v>79.506994340000006</v>
      </c>
      <c r="E10" s="311">
        <v>141.58223362000001</v>
      </c>
      <c r="F10" s="302">
        <f t="shared" si="0"/>
        <v>0.78075193000686638</v>
      </c>
      <c r="G10" s="311">
        <v>93.664629599999998</v>
      </c>
      <c r="H10" s="311">
        <v>141.58223362000001</v>
      </c>
      <c r="I10" s="302">
        <f t="shared" si="1"/>
        <v>0.51158696964515626</v>
      </c>
      <c r="J10" s="311">
        <v>216.17747904000001</v>
      </c>
      <c r="K10" s="311">
        <v>240.50650965</v>
      </c>
      <c r="L10" s="311">
        <v>254.48871313000001</v>
      </c>
      <c r="M10" s="312">
        <v>282.59239028000002</v>
      </c>
      <c r="N10" t="str">
        <f t="shared" si="2"/>
        <v>BulgariaManufacture of other transport equipment (C30)</v>
      </c>
      <c r="O10" s="11">
        <f>INDEX('Base de dados IHS'!$A$1:$V$676,MATCH($N10,'Base de dados IHS'!$C$1:$C$676,0),MATCH($O$1,'Base de dados IHS'!$A$1:$V$1,0))</f>
        <v>60854.013563</v>
      </c>
      <c r="P10" s="11">
        <f>INDEX('Base de dados IHS'!$A$1:$V$676,MATCH($N10,'Base de dados IHS'!$C$1:$C$676,0),MATCH($P$1,'Base de dados IHS'!$A$1:$V$1,0))</f>
        <v>70836.911882080007</v>
      </c>
      <c r="Q10" s="131">
        <f>INDEX('Base de dados IHS'!$A$1:$V$676,MATCH($N10,'Base de dados IHS'!$C$1:$C$676,0),MATCH($Q$1,'Base de dados IHS'!$A$1:$V$1,0))</f>
        <v>1.5391693023342221E-3</v>
      </c>
      <c r="R10" s="131">
        <f>INDEX('Base de dados IHS'!$A$1:$V$676,MATCH($N10,'Base de dados IHS'!$C$1:$C$676,0),MATCH($R$1,'Base de dados IHS'!$A$1:$V$1,0))</f>
        <v>1.9987070279925178E-3</v>
      </c>
      <c r="S10" s="131">
        <f>INDEX('Base de dados IHS'!$A$1:$V$676,MATCH($N10,'Base de dados IHS'!$C$1:$C$676,0),MATCH($S$1,'Base de dados IHS'!$A$1:$V$1,0))</f>
        <v>4.595377256582957E-4</v>
      </c>
      <c r="T10" t="str">
        <f>IF(Q10&lt;'Cenario A ranking setor PIB'!$G$114,"N","Y")</f>
        <v>N</v>
      </c>
    </row>
    <row r="11" spans="1:20" x14ac:dyDescent="0.45">
      <c r="A11" s="293" t="s">
        <v>101</v>
      </c>
      <c r="B11" s="297" t="s">
        <v>8</v>
      </c>
      <c r="C11" s="297" t="s">
        <v>958</v>
      </c>
      <c r="D11" s="311">
        <v>7533.2299766300002</v>
      </c>
      <c r="E11" s="311">
        <v>8500.4642810000005</v>
      </c>
      <c r="F11" s="302">
        <f t="shared" si="0"/>
        <v>0.12839569578661569</v>
      </c>
      <c r="G11" s="311">
        <v>7528.6302514500003</v>
      </c>
      <c r="H11" s="311">
        <v>8500.4642810000005</v>
      </c>
      <c r="I11" s="302">
        <f t="shared" si="1"/>
        <v>0.12908510540318097</v>
      </c>
      <c r="J11" s="311">
        <v>10500.932449489999</v>
      </c>
      <c r="K11" s="311">
        <v>11093.9407173</v>
      </c>
      <c r="L11" s="311">
        <v>11440.79649705</v>
      </c>
      <c r="M11" s="312">
        <v>12022.16799007</v>
      </c>
      <c r="N11" t="str">
        <f t="shared" si="2"/>
        <v>ItalyManufacture of other transport equipment (C30)</v>
      </c>
      <c r="O11" s="11">
        <f>INDEX('Base de dados IHS'!$A$1:$V$676,MATCH($N11,'Base de dados IHS'!$C$1:$C$676,0),MATCH($O$1,'Base de dados IHS'!$A$1:$V$1,0))</f>
        <v>1924364.2462229</v>
      </c>
      <c r="P11" s="11">
        <f>INDEX('Base de dados IHS'!$A$1:$V$676,MATCH($N11,'Base de dados IHS'!$C$1:$C$676,0),MATCH($P$1,'Base de dados IHS'!$A$1:$V$1,0))</f>
        <v>1980878.3634254001</v>
      </c>
      <c r="Q11" s="131">
        <f>INDEX('Base de dados IHS'!$A$1:$V$676,MATCH($N11,'Base de dados IHS'!$C$1:$C$676,0),MATCH($Q$1,'Base de dados IHS'!$A$1:$V$1,0))</f>
        <v>3.9122688265628668E-3</v>
      </c>
      <c r="R11" s="131">
        <f>INDEX('Base de dados IHS'!$A$1:$V$676,MATCH($N11,'Base de dados IHS'!$C$1:$C$676,0),MATCH($R$1,'Base de dados IHS'!$A$1:$V$1,0))</f>
        <v>4.2912600985255435E-3</v>
      </c>
      <c r="S11" s="131">
        <f>INDEX('Base de dados IHS'!$A$1:$V$676,MATCH($N11,'Base de dados IHS'!$C$1:$C$676,0),MATCH($S$1,'Base de dados IHS'!$A$1:$V$1,0))</f>
        <v>3.7899127196267673E-4</v>
      </c>
      <c r="T11" t="str">
        <f>IF(Q11&lt;'Cenario A ranking setor PIB'!$G$114,"N","Y")</f>
        <v>Y</v>
      </c>
    </row>
    <row r="12" spans="1:20" hidden="1" x14ac:dyDescent="0.45">
      <c r="A12" s="293" t="s">
        <v>164</v>
      </c>
      <c r="B12" s="297" t="s">
        <v>8</v>
      </c>
      <c r="C12" s="297" t="s">
        <v>958</v>
      </c>
      <c r="D12" s="311">
        <v>178.89141287999999</v>
      </c>
      <c r="E12" s="311">
        <v>312.58872389999999</v>
      </c>
      <c r="F12" s="302">
        <f t="shared" si="0"/>
        <v>0.74736572799994549</v>
      </c>
      <c r="G12" s="311">
        <v>237.84938764</v>
      </c>
      <c r="H12" s="311">
        <v>312.58872389999999</v>
      </c>
      <c r="I12" s="302">
        <f t="shared" si="1"/>
        <v>0.31422967703041849</v>
      </c>
      <c r="J12" s="311">
        <v>388.76886224999998</v>
      </c>
      <c r="K12" s="311">
        <v>421.06051020000001</v>
      </c>
      <c r="L12" s="311">
        <v>408.25785404999999</v>
      </c>
      <c r="M12" s="312">
        <v>470.87376297999998</v>
      </c>
      <c r="N12" t="str">
        <f t="shared" si="2"/>
        <v>MoroccoManufacture of other transport equipment (C30)</v>
      </c>
      <c r="O12" s="11">
        <f>INDEX('Base de dados IHS'!$A$1:$V$676,MATCH($N12,'Base de dados IHS'!$C$1:$C$676,0),MATCH($O$1,'Base de dados IHS'!$A$1:$V$1,0))</f>
        <v>115608.87885166</v>
      </c>
      <c r="P12" s="11">
        <f>INDEX('Base de dados IHS'!$A$1:$V$676,MATCH($N12,'Base de dados IHS'!$C$1:$C$676,0),MATCH($P$1,'Base de dados IHS'!$A$1:$V$1,0))</f>
        <v>129710.11086108</v>
      </c>
      <c r="Q12" s="131">
        <f>INDEX('Base de dados IHS'!$A$1:$V$676,MATCH($N12,'Base de dados IHS'!$C$1:$C$676,0),MATCH($Q$1,'Base de dados IHS'!$A$1:$V$1,0))</f>
        <v>2.0573626351414512E-3</v>
      </c>
      <c r="R12" s="131">
        <f>INDEX('Base de dados IHS'!$A$1:$V$676,MATCH($N12,'Base de dados IHS'!$C$1:$C$676,0),MATCH($R$1,'Base de dados IHS'!$A$1:$V$1,0))</f>
        <v>2.4099025266795405E-3</v>
      </c>
      <c r="S12" s="131">
        <f>INDEX('Base de dados IHS'!$A$1:$V$676,MATCH($N12,'Base de dados IHS'!$C$1:$C$676,0),MATCH($S$1,'Base de dados IHS'!$A$1:$V$1,0))</f>
        <v>3.5253989153808925E-4</v>
      </c>
      <c r="T12" t="str">
        <f>IF(Q12&lt;'Cenario A ranking setor PIB'!$G$114,"N","Y")</f>
        <v>N</v>
      </c>
    </row>
    <row r="13" spans="1:20" hidden="1" x14ac:dyDescent="0.45">
      <c r="A13" s="293" t="s">
        <v>161</v>
      </c>
      <c r="B13" s="297" t="s">
        <v>8</v>
      </c>
      <c r="C13" s="297" t="s">
        <v>958</v>
      </c>
      <c r="D13" s="311">
        <v>150.48727875</v>
      </c>
      <c r="E13" s="311">
        <v>224.25725725999999</v>
      </c>
      <c r="F13" s="302">
        <f t="shared" si="0"/>
        <v>0.49020740572066446</v>
      </c>
      <c r="G13" s="311">
        <v>153.19541620999999</v>
      </c>
      <c r="H13" s="311">
        <v>224.25725725999999</v>
      </c>
      <c r="I13" s="302">
        <f t="shared" si="1"/>
        <v>0.46386401635273833</v>
      </c>
      <c r="J13" s="311">
        <v>260.19902463</v>
      </c>
      <c r="K13" s="311">
        <v>282.10036567999998</v>
      </c>
      <c r="L13" s="311">
        <v>297.09170963000003</v>
      </c>
      <c r="M13" s="312">
        <v>336.11958353</v>
      </c>
      <c r="N13" t="str">
        <f t="shared" si="2"/>
        <v>PortugalManufacture of other transport equipment (C30)</v>
      </c>
      <c r="O13" s="11">
        <f>INDEX('Base de dados IHS'!$A$1:$V$676,MATCH($N13,'Base de dados IHS'!$C$1:$C$676,0),MATCH($O$1,'Base de dados IHS'!$A$1:$V$1,0))</f>
        <v>215192.52938671</v>
      </c>
      <c r="P13" s="11">
        <f>INDEX('Base de dados IHS'!$A$1:$V$676,MATCH($N13,'Base de dados IHS'!$C$1:$C$676,0),MATCH($P$1,'Base de dados IHS'!$A$1:$V$1,0))</f>
        <v>232686.90641277001</v>
      </c>
      <c r="Q13" s="131">
        <f>INDEX('Base de dados IHS'!$A$1:$V$676,MATCH($N13,'Base de dados IHS'!$C$1:$C$676,0),MATCH($Q$1,'Base de dados IHS'!$A$1:$V$1,0))</f>
        <v>7.1189932404531293E-4</v>
      </c>
      <c r="R13" s="131">
        <f>INDEX('Base de dados IHS'!$A$1:$V$676,MATCH($N13,'Base de dados IHS'!$C$1:$C$676,0),MATCH($R$1,'Base de dados IHS'!$A$1:$V$1,0))</f>
        <v>9.6377256768450726E-4</v>
      </c>
      <c r="S13" s="131">
        <f>INDEX('Base de dados IHS'!$A$1:$V$676,MATCH($N13,'Base de dados IHS'!$C$1:$C$676,0),MATCH($S$1,'Base de dados IHS'!$A$1:$V$1,0))</f>
        <v>2.5187324363919433E-4</v>
      </c>
      <c r="T13" t="str">
        <f>IF(Q13&lt;'Cenario A ranking setor PIB'!$G$114,"N","Y")</f>
        <v>N</v>
      </c>
    </row>
    <row r="14" spans="1:20" hidden="1" x14ac:dyDescent="0.45">
      <c r="A14" s="293" t="s">
        <v>174</v>
      </c>
      <c r="B14" s="297" t="s">
        <v>8</v>
      </c>
      <c r="C14" s="297" t="s">
        <v>958</v>
      </c>
      <c r="D14" s="311">
        <v>38.567881069999999</v>
      </c>
      <c r="E14" s="311">
        <v>83.390383940000007</v>
      </c>
      <c r="F14" s="302">
        <f t="shared" si="0"/>
        <v>1.162171776786181</v>
      </c>
      <c r="G14" s="311">
        <v>55.386982109999998</v>
      </c>
      <c r="H14" s="311">
        <v>83.390383940000007</v>
      </c>
      <c r="I14" s="302">
        <f t="shared" si="1"/>
        <v>0.50559537211080618</v>
      </c>
      <c r="J14" s="311">
        <v>74.996457269999993</v>
      </c>
      <c r="K14" s="311">
        <v>87.041360530000006</v>
      </c>
      <c r="L14" s="311">
        <v>97.132464339999999</v>
      </c>
      <c r="M14" s="312">
        <v>123.18592941999999</v>
      </c>
      <c r="N14" t="str">
        <f t="shared" si="2"/>
        <v>Sri LankaManufacture of other transport equipment (C30)</v>
      </c>
      <c r="O14" s="11">
        <f>INDEX('Base de dados IHS'!$A$1:$V$676,MATCH($N14,'Base de dados IHS'!$C$1:$C$676,0),MATCH($O$1,'Base de dados IHS'!$A$1:$V$1,0))</f>
        <v>77969.257644440004</v>
      </c>
      <c r="P14" s="11">
        <f>INDEX('Base de dados IHS'!$A$1:$V$676,MATCH($N14,'Base de dados IHS'!$C$1:$C$676,0),MATCH($P$1,'Base de dados IHS'!$A$1:$V$1,0))</f>
        <v>87884.425158479993</v>
      </c>
      <c r="Q14" s="131">
        <f>INDEX('Base de dados IHS'!$A$1:$V$676,MATCH($N14,'Base de dados IHS'!$C$1:$C$676,0),MATCH($Q$1,'Base de dados IHS'!$A$1:$V$1,0))</f>
        <v>7.1036949412265759E-4</v>
      </c>
      <c r="R14" s="131">
        <f>INDEX('Base de dados IHS'!$A$1:$V$676,MATCH($N14,'Base de dados IHS'!$C$1:$C$676,0),MATCH($R$1,'Base de dados IHS'!$A$1:$V$1,0))</f>
        <v>9.4886419055053293E-4</v>
      </c>
      <c r="S14" s="131">
        <f>INDEX('Base de dados IHS'!$A$1:$V$676,MATCH($N14,'Base de dados IHS'!$C$1:$C$676,0),MATCH($S$1,'Base de dados IHS'!$A$1:$V$1,0))</f>
        <v>2.3849469642787534E-4</v>
      </c>
      <c r="T14" t="str">
        <f>IF(Q14&lt;'Cenario A ranking setor PIB'!$G$114,"N","Y")</f>
        <v>N</v>
      </c>
    </row>
    <row r="15" spans="1:20" hidden="1" x14ac:dyDescent="0.45">
      <c r="A15" s="293" t="s">
        <v>143</v>
      </c>
      <c r="B15" s="297" t="s">
        <v>8</v>
      </c>
      <c r="C15" s="297" t="s">
        <v>958</v>
      </c>
      <c r="D15" s="311">
        <v>402.41837415999998</v>
      </c>
      <c r="E15" s="311">
        <v>610.79716887999996</v>
      </c>
      <c r="F15" s="302">
        <f t="shared" si="0"/>
        <v>0.51781630288369818</v>
      </c>
      <c r="G15" s="311">
        <v>480.77208139999999</v>
      </c>
      <c r="H15" s="311">
        <v>610.79716887999996</v>
      </c>
      <c r="I15" s="302">
        <f t="shared" si="1"/>
        <v>0.27045057837254016</v>
      </c>
      <c r="J15" s="311">
        <v>612.03157099999999</v>
      </c>
      <c r="K15" s="311">
        <v>675.12793280999995</v>
      </c>
      <c r="L15" s="311">
        <v>723.12026804000004</v>
      </c>
      <c r="M15" s="312">
        <v>837.98131476000003</v>
      </c>
      <c r="N15" t="str">
        <f t="shared" si="2"/>
        <v>United Arab EmiratesManufacture of other transport equipment (C30)</v>
      </c>
      <c r="O15" s="11">
        <f>INDEX('Base de dados IHS'!$A$1:$V$676,MATCH($N15,'Base de dados IHS'!$C$1:$C$676,0),MATCH($O$1,'Base de dados IHS'!$A$1:$V$1,0))</f>
        <v>383753.13090967003</v>
      </c>
      <c r="P15" s="11">
        <f>INDEX('Base de dados IHS'!$A$1:$V$676,MATCH($N15,'Base de dados IHS'!$C$1:$C$676,0),MATCH($P$1,'Base de dados IHS'!$A$1:$V$1,0))</f>
        <v>414599.77007557999</v>
      </c>
      <c r="Q15" s="131">
        <f>INDEX('Base de dados IHS'!$A$1:$V$676,MATCH($N15,'Base de dados IHS'!$C$1:$C$676,0),MATCH($Q$1,'Base de dados IHS'!$A$1:$V$1,0))</f>
        <v>1.252816049370987E-3</v>
      </c>
      <c r="R15" s="131">
        <f>INDEX('Base de dados IHS'!$A$1:$V$676,MATCH($N15,'Base de dados IHS'!$C$1:$C$676,0),MATCH($R$1,'Base de dados IHS'!$A$1:$V$1,0))</f>
        <v>1.4732211953920136E-3</v>
      </c>
      <c r="S15" s="131">
        <f>INDEX('Base de dados IHS'!$A$1:$V$676,MATCH($N15,'Base de dados IHS'!$C$1:$C$676,0),MATCH($S$1,'Base de dados IHS'!$A$1:$V$1,0))</f>
        <v>2.2040514602102656E-4</v>
      </c>
      <c r="T15" t="str">
        <f>IF(Q15&lt;'Cenario A ranking setor PIB'!$G$114,"N","Y")</f>
        <v>N</v>
      </c>
    </row>
    <row r="16" spans="1:20" hidden="1" x14ac:dyDescent="0.45">
      <c r="A16" s="293" t="s">
        <v>70</v>
      </c>
      <c r="B16" s="297" t="s">
        <v>8</v>
      </c>
      <c r="C16" s="297" t="s">
        <v>958</v>
      </c>
      <c r="D16" s="311">
        <v>3989.0381806700002</v>
      </c>
      <c r="E16" s="311">
        <v>6435.0389011899997</v>
      </c>
      <c r="F16" s="302">
        <f t="shared" si="0"/>
        <v>0.61318057379665603</v>
      </c>
      <c r="G16" s="311">
        <v>4509.4080588699999</v>
      </c>
      <c r="H16" s="311">
        <v>6435.0389011899997</v>
      </c>
      <c r="I16" s="302">
        <f t="shared" si="1"/>
        <v>0.42702519203873912</v>
      </c>
      <c r="J16" s="311">
        <v>8217.2932707799991</v>
      </c>
      <c r="K16" s="311">
        <v>9695.6612491300002</v>
      </c>
      <c r="L16" s="311">
        <v>10847.500905700001</v>
      </c>
      <c r="M16" s="312">
        <v>12959.56293663</v>
      </c>
      <c r="N16" t="str">
        <f t="shared" si="2"/>
        <v>IndiaManufacture of other transport equipment (C30)</v>
      </c>
      <c r="O16" s="11">
        <f>INDEX('Base de dados IHS'!$A$1:$V$676,MATCH($N16,'Base de dados IHS'!$C$1:$C$676,0),MATCH($O$1,'Base de dados IHS'!$A$1:$V$1,0))</f>
        <v>2233583.9807687998</v>
      </c>
      <c r="P16" s="11">
        <f>INDEX('Base de dados IHS'!$A$1:$V$676,MATCH($N16,'Base de dados IHS'!$C$1:$C$676,0),MATCH($P$1,'Base de dados IHS'!$A$1:$V$1,0))</f>
        <v>2928405.219999</v>
      </c>
      <c r="Q16" s="131">
        <f>INDEX('Base de dados IHS'!$A$1:$V$676,MATCH($N16,'Base de dados IHS'!$C$1:$C$676,0),MATCH($Q$1,'Base de dados IHS'!$A$1:$V$1,0))</f>
        <v>2.0189113539925466E-3</v>
      </c>
      <c r="R16" s="131">
        <f>INDEX('Base de dados IHS'!$A$1:$V$676,MATCH($N16,'Base de dados IHS'!$C$1:$C$676,0),MATCH($R$1,'Base de dados IHS'!$A$1:$V$1,0))</f>
        <v>2.197455071191342E-3</v>
      </c>
      <c r="S16" s="131">
        <f>INDEX('Base de dados IHS'!$A$1:$V$676,MATCH($N16,'Base de dados IHS'!$C$1:$C$676,0),MATCH($S$1,'Base de dados IHS'!$A$1:$V$1,0))</f>
        <v>1.7854371719879534E-4</v>
      </c>
      <c r="T16" t="str">
        <f>IF(Q16&lt;'Cenario A ranking setor PIB'!$G$114,"N","Y")</f>
        <v>N</v>
      </c>
    </row>
    <row r="17" spans="1:20" hidden="1" x14ac:dyDescent="0.45">
      <c r="A17" s="293" t="s">
        <v>126</v>
      </c>
      <c r="B17" s="297" t="s">
        <v>8</v>
      </c>
      <c r="C17" s="297" t="s">
        <v>958</v>
      </c>
      <c r="D17" s="311">
        <v>471.49211987000001</v>
      </c>
      <c r="E17" s="311">
        <v>503.94359400000002</v>
      </c>
      <c r="F17" s="302">
        <f t="shared" si="0"/>
        <v>6.8827182390550856E-2</v>
      </c>
      <c r="G17" s="311">
        <v>420.54933728999998</v>
      </c>
      <c r="H17" s="311">
        <v>503.94359400000002</v>
      </c>
      <c r="I17" s="302">
        <f t="shared" si="1"/>
        <v>0.19829839049893327</v>
      </c>
      <c r="J17" s="311">
        <v>660.08038933</v>
      </c>
      <c r="K17" s="311">
        <v>683.14271055999995</v>
      </c>
      <c r="L17" s="311">
        <v>696.39491905</v>
      </c>
      <c r="M17" s="312">
        <v>741.21965244</v>
      </c>
      <c r="N17" t="str">
        <f t="shared" si="2"/>
        <v>FinlandManufacture of other transport equipment (C30)</v>
      </c>
      <c r="O17" s="11">
        <f>INDEX('Base de dados IHS'!$A$1:$V$676,MATCH($N17,'Base de dados IHS'!$C$1:$C$676,0),MATCH($O$1,'Base de dados IHS'!$A$1:$V$1,0))</f>
        <v>247207.29862345001</v>
      </c>
      <c r="P17" s="11">
        <f>INDEX('Base de dados IHS'!$A$1:$V$676,MATCH($N17,'Base de dados IHS'!$C$1:$C$676,0),MATCH($P$1,'Base de dados IHS'!$A$1:$V$1,0))</f>
        <v>270499.52733732999</v>
      </c>
      <c r="Q17" s="131">
        <f>INDEX('Base de dados IHS'!$A$1:$V$676,MATCH($N17,'Base de dados IHS'!$C$1:$C$676,0),MATCH($Q$1,'Base de dados IHS'!$A$1:$V$1,0))</f>
        <v>1.7012011361791839E-3</v>
      </c>
      <c r="R17" s="131">
        <f>INDEX('Base de dados IHS'!$A$1:$V$676,MATCH($N17,'Base de dados IHS'!$C$1:$C$676,0),MATCH($R$1,'Base de dados IHS'!$A$1:$V$1,0))</f>
        <v>1.8630109965831864E-3</v>
      </c>
      <c r="S17" s="131">
        <f>INDEX('Base de dados IHS'!$A$1:$V$676,MATCH($N17,'Base de dados IHS'!$C$1:$C$676,0),MATCH($S$1,'Base de dados IHS'!$A$1:$V$1,0))</f>
        <v>1.6180986040400256E-4</v>
      </c>
      <c r="T17" t="str">
        <f>IF(Q17&lt;'Cenario A ranking setor PIB'!$G$114,"N","Y")</f>
        <v>N</v>
      </c>
    </row>
    <row r="18" spans="1:20" hidden="1" x14ac:dyDescent="0.45">
      <c r="A18" s="293" t="s">
        <v>150</v>
      </c>
      <c r="B18" s="297" t="s">
        <v>8</v>
      </c>
      <c r="C18" s="297" t="s">
        <v>958</v>
      </c>
      <c r="D18" s="311">
        <v>534.14304245000005</v>
      </c>
      <c r="E18" s="311">
        <v>706.29607430999999</v>
      </c>
      <c r="F18" s="302">
        <f t="shared" si="0"/>
        <v>0.32229762100872961</v>
      </c>
      <c r="G18" s="311">
        <v>524.86180515000001</v>
      </c>
      <c r="H18" s="311">
        <v>706.29607430999999</v>
      </c>
      <c r="I18" s="302">
        <f t="shared" si="1"/>
        <v>0.34568007688833058</v>
      </c>
      <c r="J18" s="311">
        <v>921.63014809000003</v>
      </c>
      <c r="K18" s="311">
        <v>1047.5155002399999</v>
      </c>
      <c r="L18" s="311">
        <v>1167.69922391</v>
      </c>
      <c r="M18" s="312">
        <v>1490.1241124799999</v>
      </c>
      <c r="N18" t="str">
        <f t="shared" si="2"/>
        <v>PhilippinesManufacture of other transport equipment (C30)</v>
      </c>
      <c r="O18" s="11">
        <f>INDEX('Base de dados IHS'!$A$1:$V$676,MATCH($N18,'Base de dados IHS'!$C$1:$C$676,0),MATCH($O$1,'Base de dados IHS'!$A$1:$V$1,0))</f>
        <v>291518.00825125998</v>
      </c>
      <c r="P18" s="11">
        <f>INDEX('Base de dados IHS'!$A$1:$V$676,MATCH($N18,'Base de dados IHS'!$C$1:$C$676,0),MATCH($P$1,'Base de dados IHS'!$A$1:$V$1,0))</f>
        <v>360513.15606205998</v>
      </c>
      <c r="Q18" s="131">
        <f>INDEX('Base de dados IHS'!$A$1:$V$676,MATCH($N18,'Base de dados IHS'!$C$1:$C$676,0),MATCH($Q$1,'Base de dados IHS'!$A$1:$V$1,0))</f>
        <v>1.8004438501021197E-3</v>
      </c>
      <c r="R18" s="131">
        <f>INDEX('Base de dados IHS'!$A$1:$V$676,MATCH($N18,'Base de dados IHS'!$C$1:$C$676,0),MATCH($R$1,'Base de dados IHS'!$A$1:$V$1,0))</f>
        <v>1.95914091464783E-3</v>
      </c>
      <c r="S18" s="131">
        <f>INDEX('Base de dados IHS'!$A$1:$V$676,MATCH($N18,'Base de dados IHS'!$C$1:$C$676,0),MATCH($S$1,'Base de dados IHS'!$A$1:$V$1,0))</f>
        <v>1.5869706454571032E-4</v>
      </c>
      <c r="T18" t="str">
        <f>IF(Q18&lt;'Cenario A ranking setor PIB'!$G$114,"N","Y")</f>
        <v>N</v>
      </c>
    </row>
    <row r="19" spans="1:20" x14ac:dyDescent="0.45">
      <c r="A19" s="293" t="s">
        <v>73</v>
      </c>
      <c r="B19" s="297" t="s">
        <v>8</v>
      </c>
      <c r="C19" s="297" t="s">
        <v>958</v>
      </c>
      <c r="D19" s="311">
        <v>2563.8920478099999</v>
      </c>
      <c r="E19" s="311">
        <v>4065.3291949200002</v>
      </c>
      <c r="F19" s="302">
        <f t="shared" si="0"/>
        <v>0.58560856662919303</v>
      </c>
      <c r="G19" s="311">
        <v>3220.66858017</v>
      </c>
      <c r="H19" s="311">
        <v>4065.3291949200002</v>
      </c>
      <c r="I19" s="302">
        <f t="shared" si="1"/>
        <v>0.26226250659588679</v>
      </c>
      <c r="J19" s="311">
        <v>3924.4876878499999</v>
      </c>
      <c r="K19" s="311">
        <v>4209.8603052099998</v>
      </c>
      <c r="L19" s="311">
        <v>4228.1203036099996</v>
      </c>
      <c r="M19" s="312">
        <v>4400.5146025399999</v>
      </c>
      <c r="N19" t="str">
        <f t="shared" si="2"/>
        <v>TaiwanManufacture of other transport equipment (C30)</v>
      </c>
      <c r="O19" s="11">
        <f>INDEX('Base de dados IHS'!$A$1:$V$676,MATCH($N19,'Base de dados IHS'!$C$1:$C$676,0),MATCH($O$1,'Base de dados IHS'!$A$1:$V$1,0))</f>
        <v>546880.06131035998</v>
      </c>
      <c r="P19" s="11">
        <f>INDEX('Base de dados IHS'!$A$1:$V$676,MATCH($N19,'Base de dados IHS'!$C$1:$C$676,0),MATCH($P$1,'Base de dados IHS'!$A$1:$V$1,0))</f>
        <v>674049.24440882006</v>
      </c>
      <c r="Q19" s="131">
        <f>INDEX('Base de dados IHS'!$A$1:$V$676,MATCH($N19,'Base de dados IHS'!$C$1:$C$676,0),MATCH($Q$1,'Base de dados IHS'!$A$1:$V$1,0))</f>
        <v>5.8891680425376455E-3</v>
      </c>
      <c r="R19" s="131">
        <f>INDEX('Base de dados IHS'!$A$1:$V$676,MATCH($N19,'Base de dados IHS'!$C$1:$C$676,0),MATCH($R$1,'Base de dados IHS'!$A$1:$V$1,0))</f>
        <v>6.0312050323348817E-3</v>
      </c>
      <c r="S19" s="131">
        <f>INDEX('Base de dados IHS'!$A$1:$V$676,MATCH($N19,'Base de dados IHS'!$C$1:$C$676,0),MATCH($S$1,'Base de dados IHS'!$A$1:$V$1,0))</f>
        <v>1.4203698979723626E-4</v>
      </c>
      <c r="T19" t="str">
        <f>IF(Q19&lt;'Cenario A ranking setor PIB'!$G$114,"N","Y")</f>
        <v>Y</v>
      </c>
    </row>
    <row r="20" spans="1:20" x14ac:dyDescent="0.45">
      <c r="A20" s="293" t="s">
        <v>112</v>
      </c>
      <c r="B20" s="297" t="s">
        <v>8</v>
      </c>
      <c r="C20" s="297" t="s">
        <v>958</v>
      </c>
      <c r="D20" s="311">
        <v>1511.6133101800001</v>
      </c>
      <c r="E20" s="311">
        <v>2203.7305487899998</v>
      </c>
      <c r="F20" s="302">
        <f t="shared" si="0"/>
        <v>0.45786659455094614</v>
      </c>
      <c r="G20" s="311">
        <v>1741.82651119</v>
      </c>
      <c r="H20" s="311">
        <v>2203.7305487899998</v>
      </c>
      <c r="I20" s="302">
        <f t="shared" si="1"/>
        <v>0.26518372216325448</v>
      </c>
      <c r="J20" s="311">
        <v>3016.86190876</v>
      </c>
      <c r="K20" s="311">
        <v>3471.6863518300001</v>
      </c>
      <c r="L20" s="311">
        <v>3730.5484664300002</v>
      </c>
      <c r="M20" s="312">
        <v>4214.7084665700004</v>
      </c>
      <c r="N20" t="str">
        <f t="shared" si="2"/>
        <v>PolandManufacture of other transport equipment (C30)</v>
      </c>
      <c r="O20" s="11">
        <f>INDEX('Base de dados IHS'!$A$1:$V$676,MATCH($N20,'Base de dados IHS'!$C$1:$C$676,0),MATCH($O$1,'Base de dados IHS'!$A$1:$V$1,0))</f>
        <v>496555.53410177003</v>
      </c>
      <c r="P20" s="11">
        <f>INDEX('Base de dados IHS'!$A$1:$V$676,MATCH($N20,'Base de dados IHS'!$C$1:$C$676,0),MATCH($P$1,'Base de dados IHS'!$A$1:$V$1,0))</f>
        <v>623108.57565016998</v>
      </c>
      <c r="Q20" s="131">
        <f>INDEX('Base de dados IHS'!$A$1:$V$676,MATCH($N20,'Base de dados IHS'!$C$1:$C$676,0),MATCH($Q$1,'Base de dados IHS'!$A$1:$V$1,0))</f>
        <v>3.5078181423168053E-3</v>
      </c>
      <c r="R20" s="131">
        <f>INDEX('Base de dados IHS'!$A$1:$V$676,MATCH($N20,'Base de dados IHS'!$C$1:$C$676,0),MATCH($R$1,'Base de dados IHS'!$A$1:$V$1,0))</f>
        <v>3.5366718336215515E-3</v>
      </c>
      <c r="S20" s="131">
        <f>INDEX('Base de dados IHS'!$A$1:$V$676,MATCH($N20,'Base de dados IHS'!$C$1:$C$676,0),MATCH($S$1,'Base de dados IHS'!$A$1:$V$1,0))</f>
        <v>2.8853691304746212E-5</v>
      </c>
      <c r="T20" t="str">
        <f>IF(Q20&lt;'Cenario A ranking setor PIB'!$G$114,"N","Y")</f>
        <v>Y</v>
      </c>
    </row>
    <row r="21" spans="1:20" hidden="1" x14ac:dyDescent="0.45">
      <c r="A21" s="293" t="s">
        <v>152</v>
      </c>
      <c r="B21" s="297" t="s">
        <v>8</v>
      </c>
      <c r="C21" s="297" t="s">
        <v>958</v>
      </c>
      <c r="D21" s="311">
        <v>122.31358864000001</v>
      </c>
      <c r="E21" s="311">
        <v>209.57859167999999</v>
      </c>
      <c r="F21" s="302">
        <f t="shared" si="0"/>
        <v>0.71345305137635262</v>
      </c>
      <c r="G21" s="311">
        <v>181.89055083</v>
      </c>
      <c r="H21" s="311">
        <v>209.57859167999999</v>
      </c>
      <c r="I21" s="302">
        <f t="shared" si="1"/>
        <v>0.15222363516771154</v>
      </c>
      <c r="J21" s="311">
        <v>272.74616995000002</v>
      </c>
      <c r="K21" s="311">
        <v>319.28288349000002</v>
      </c>
      <c r="L21" s="311">
        <v>350.74430380000001</v>
      </c>
      <c r="M21" s="312">
        <v>424.06545169999998</v>
      </c>
      <c r="N21" t="str">
        <f t="shared" si="2"/>
        <v>ColombiaManufacture of other transport equipment (C30)</v>
      </c>
      <c r="O21" s="11">
        <f>INDEX('Base de dados IHS'!$A$1:$V$676,MATCH($N21,'Base de dados IHS'!$C$1:$C$676,0),MATCH($O$1,'Base de dados IHS'!$A$1:$V$1,0))</f>
        <v>295018.32730579999</v>
      </c>
      <c r="P21" s="11">
        <f>INDEX('Base de dados IHS'!$A$1:$V$676,MATCH($N21,'Base de dados IHS'!$C$1:$C$676,0),MATCH($P$1,'Base de dados IHS'!$A$1:$V$1,0))</f>
        <v>332655.81031924998</v>
      </c>
      <c r="Q21" s="131">
        <f>INDEX('Base de dados IHS'!$A$1:$V$676,MATCH($N21,'Base de dados IHS'!$C$1:$C$676,0),MATCH($Q$1,'Base de dados IHS'!$A$1:$V$1,0))</f>
        <v>6.1653983496917501E-4</v>
      </c>
      <c r="R21" s="131">
        <f>INDEX('Base de dados IHS'!$A$1:$V$676,MATCH($N21,'Base de dados IHS'!$C$1:$C$676,0),MATCH($R$1,'Base de dados IHS'!$A$1:$V$1,0))</f>
        <v>6.3001632672180679E-4</v>
      </c>
      <c r="S21" s="131">
        <f>INDEX('Base de dados IHS'!$A$1:$V$676,MATCH($N21,'Base de dados IHS'!$C$1:$C$676,0),MATCH($S$1,'Base de dados IHS'!$A$1:$V$1,0))</f>
        <v>1.3476491752631783E-5</v>
      </c>
      <c r="T21" t="str">
        <f>IF(Q21&lt;'Cenario A ranking setor PIB'!$G$114,"N","Y")</f>
        <v>N</v>
      </c>
    </row>
    <row r="22" spans="1:20" hidden="1" x14ac:dyDescent="0.45">
      <c r="A22" s="293" t="s">
        <v>116</v>
      </c>
      <c r="B22" s="297" t="s">
        <v>8</v>
      </c>
      <c r="C22" s="297" t="s">
        <v>958</v>
      </c>
      <c r="D22" s="311">
        <v>383.99463865000001</v>
      </c>
      <c r="E22" s="311">
        <v>287.43219658999999</v>
      </c>
      <c r="F22" s="302">
        <f t="shared" si="0"/>
        <v>-0.25146820382566304</v>
      </c>
      <c r="G22" s="311">
        <v>246.71071506000001</v>
      </c>
      <c r="H22" s="311">
        <v>287.43219658999999</v>
      </c>
      <c r="I22" s="302">
        <f t="shared" si="1"/>
        <v>0.16505761219206283</v>
      </c>
      <c r="J22" s="311">
        <v>274.55705662000003</v>
      </c>
      <c r="K22" s="311">
        <v>279.53887756</v>
      </c>
      <c r="L22" s="311">
        <v>283.31319608000001</v>
      </c>
      <c r="M22" s="312">
        <v>289.61669972999999</v>
      </c>
      <c r="N22" t="str">
        <f t="shared" si="2"/>
        <v>DenmarkManufacture of other transport equipment (C30)</v>
      </c>
      <c r="O22" s="11">
        <f>INDEX('Base de dados IHS'!$A$1:$V$676,MATCH($N22,'Base de dados IHS'!$C$1:$C$676,0),MATCH($O$1,'Base de dados IHS'!$A$1:$V$1,0))</f>
        <v>315318.76572541997</v>
      </c>
      <c r="P22" s="11">
        <f>INDEX('Base de dados IHS'!$A$1:$V$676,MATCH($N22,'Base de dados IHS'!$C$1:$C$676,0),MATCH($P$1,'Base de dados IHS'!$A$1:$V$1,0))</f>
        <v>361238.79673869</v>
      </c>
      <c r="Q22" s="131">
        <f>INDEX('Base de dados IHS'!$A$1:$V$676,MATCH($N22,'Base de dados IHS'!$C$1:$C$676,0),MATCH($Q$1,'Base de dados IHS'!$A$1:$V$1,0))</f>
        <v>7.8241684884316738E-4</v>
      </c>
      <c r="R22" s="131">
        <f>INDEX('Base de dados IHS'!$A$1:$V$676,MATCH($N22,'Base de dados IHS'!$C$1:$C$676,0),MATCH($R$1,'Base de dados IHS'!$A$1:$V$1,0))</f>
        <v>7.9568473592807462E-4</v>
      </c>
      <c r="S22" s="131">
        <f>INDEX('Base de dados IHS'!$A$1:$V$676,MATCH($N22,'Base de dados IHS'!$C$1:$C$676,0),MATCH($S$1,'Base de dados IHS'!$A$1:$V$1,0))</f>
        <v>1.3267887084907233E-5</v>
      </c>
      <c r="T22" t="str">
        <f>IF(Q22&lt;'Cenario A ranking setor PIB'!$G$114,"N","Y")</f>
        <v>N</v>
      </c>
    </row>
    <row r="23" spans="1:20" hidden="1" x14ac:dyDescent="0.45">
      <c r="A23" s="293" t="s">
        <v>178</v>
      </c>
      <c r="B23" s="297" t="s">
        <v>8</v>
      </c>
      <c r="C23" s="297" t="s">
        <v>958</v>
      </c>
      <c r="D23" s="311">
        <v>6.8634494799999999</v>
      </c>
      <c r="E23" s="311">
        <v>13.46136181</v>
      </c>
      <c r="F23" s="302">
        <f t="shared" si="0"/>
        <v>0.96131141479604798</v>
      </c>
      <c r="G23" s="311">
        <v>9.7432868999999993</v>
      </c>
      <c r="H23" s="311">
        <v>13.46136181</v>
      </c>
      <c r="I23" s="302">
        <f t="shared" si="1"/>
        <v>0.38160375940484736</v>
      </c>
      <c r="J23" s="311">
        <v>19.521761470000001</v>
      </c>
      <c r="K23" s="311">
        <v>23.50829375</v>
      </c>
      <c r="L23" s="311">
        <v>26.90780603</v>
      </c>
      <c r="M23" s="312">
        <v>36.689218169999997</v>
      </c>
      <c r="N23" t="str">
        <f t="shared" si="2"/>
        <v>SenegalManufacture of other transport equipment (C30)</v>
      </c>
      <c r="O23" s="11">
        <f>INDEX('Base de dados IHS'!$A$1:$V$676,MATCH($N23,'Base de dados IHS'!$C$1:$C$676,0),MATCH($O$1,'Base de dados IHS'!$A$1:$V$1,0))</f>
        <v>18437.455260710001</v>
      </c>
      <c r="P23" s="11">
        <f>INDEX('Base de dados IHS'!$A$1:$V$676,MATCH($N23,'Base de dados IHS'!$C$1:$C$676,0),MATCH($P$1,'Base de dados IHS'!$A$1:$V$1,0))</f>
        <v>25150.80803964</v>
      </c>
      <c r="Q23" s="131">
        <f>INDEX('Base de dados IHS'!$A$1:$V$676,MATCH($N23,'Base de dados IHS'!$C$1:$C$676,0),MATCH($Q$1,'Base de dados IHS'!$A$1:$V$1,0))</f>
        <v>5.2845074128873024E-4</v>
      </c>
      <c r="R23" s="131">
        <f>INDEX('Base de dados IHS'!$A$1:$V$676,MATCH($N23,'Base de dados IHS'!$C$1:$C$676,0),MATCH($R$1,'Base de dados IHS'!$A$1:$V$1,0))</f>
        <v>5.3522581814403924E-4</v>
      </c>
      <c r="S23" s="131">
        <f>INDEX('Base de dados IHS'!$A$1:$V$676,MATCH($N23,'Base de dados IHS'!$C$1:$C$676,0),MATCH($S$1,'Base de dados IHS'!$A$1:$V$1,0))</f>
        <v>6.7750768553089978E-6</v>
      </c>
      <c r="T23" t="str">
        <f>IF(Q23&lt;'Cenario A ranking setor PIB'!$G$114,"N","Y")</f>
        <v>N</v>
      </c>
    </row>
    <row r="24" spans="1:20" hidden="1" x14ac:dyDescent="0.45">
      <c r="A24" s="293" t="s">
        <v>176</v>
      </c>
      <c r="B24" s="297" t="s">
        <v>8</v>
      </c>
      <c r="C24" s="297" t="s">
        <v>958</v>
      </c>
      <c r="D24" s="311">
        <v>3.3774892400000001</v>
      </c>
      <c r="E24" s="311">
        <v>5.8397550999999996</v>
      </c>
      <c r="F24" s="302">
        <f t="shared" si="0"/>
        <v>0.72902256233390683</v>
      </c>
      <c r="G24" s="311">
        <v>5.1243942499999999</v>
      </c>
      <c r="H24" s="311">
        <v>5.8397550999999996</v>
      </c>
      <c r="I24" s="302">
        <f t="shared" si="1"/>
        <v>0.13959910481126614</v>
      </c>
      <c r="J24" s="311">
        <v>6.3514312500000001</v>
      </c>
      <c r="K24" s="311">
        <v>6.9670346099999998</v>
      </c>
      <c r="L24" s="311">
        <v>7.4519026500000001</v>
      </c>
      <c r="M24" s="312">
        <v>8.5890995599999993</v>
      </c>
      <c r="N24" t="str">
        <f t="shared" si="2"/>
        <v>JordanManufacture of other transport equipment (C30)</v>
      </c>
      <c r="O24" s="11">
        <f>INDEX('Base de dados IHS'!$A$1:$V$676,MATCH($N24,'Base de dados IHS'!$C$1:$C$676,0),MATCH($O$1,'Base de dados IHS'!$A$1:$V$1,0))</f>
        <v>41181.394892199998</v>
      </c>
      <c r="P24" s="11">
        <f>INDEX('Base de dados IHS'!$A$1:$V$676,MATCH($N24,'Base de dados IHS'!$C$1:$C$676,0),MATCH($P$1,'Base de dados IHS'!$A$1:$V$1,0))</f>
        <v>44841.419332370002</v>
      </c>
      <c r="Q24" s="131">
        <f>INDEX('Base de dados IHS'!$A$1:$V$676,MATCH($N24,'Base de dados IHS'!$C$1:$C$676,0),MATCH($Q$1,'Base de dados IHS'!$A$1:$V$1,0))</f>
        <v>1.2443469346810763E-4</v>
      </c>
      <c r="R24" s="131">
        <f>INDEX('Base de dados IHS'!$A$1:$V$676,MATCH($N24,'Base de dados IHS'!$C$1:$C$676,0),MATCH($R$1,'Base de dados IHS'!$A$1:$V$1,0))</f>
        <v>1.302312724919573E-4</v>
      </c>
      <c r="S24" s="131">
        <f>INDEX('Base de dados IHS'!$A$1:$V$676,MATCH($N24,'Base de dados IHS'!$C$1:$C$676,0),MATCH($S$1,'Base de dados IHS'!$A$1:$V$1,0))</f>
        <v>5.7965790238496701E-6</v>
      </c>
      <c r="T24" t="str">
        <f>IF(Q24&lt;'Cenario A ranking setor PIB'!$G$114,"N","Y")</f>
        <v>N</v>
      </c>
    </row>
    <row r="25" spans="1:20" hidden="1" x14ac:dyDescent="0.45">
      <c r="A25" s="293" t="s">
        <v>171</v>
      </c>
      <c r="B25" s="297" t="s">
        <v>8</v>
      </c>
      <c r="C25" s="297" t="s">
        <v>958</v>
      </c>
      <c r="D25" s="311">
        <v>2.11885148</v>
      </c>
      <c r="E25" s="311">
        <v>3.1914023500000002</v>
      </c>
      <c r="F25" s="302">
        <f t="shared" si="0"/>
        <v>0.50619445493178228</v>
      </c>
      <c r="G25" s="311">
        <v>2.5539906700000001</v>
      </c>
      <c r="H25" s="311">
        <v>3.1914023500000002</v>
      </c>
      <c r="I25" s="302">
        <f t="shared" si="1"/>
        <v>0.24957478799247146</v>
      </c>
      <c r="J25" s="311">
        <v>4.1233595599999999</v>
      </c>
      <c r="K25" s="311">
        <v>4.8715974600000003</v>
      </c>
      <c r="L25" s="311">
        <v>5.3635569900000002</v>
      </c>
      <c r="M25" s="312">
        <v>6.6044075099999997</v>
      </c>
      <c r="N25" t="str">
        <f t="shared" si="2"/>
        <v>CameroonManufacture of other transport equipment (C30)</v>
      </c>
      <c r="O25" s="11">
        <f>INDEX('Base de dados IHS'!$A$1:$V$676,MATCH($N25,'Base de dados IHS'!$C$1:$C$676,0),MATCH($O$1,'Base de dados IHS'!$A$1:$V$1,0))</f>
        <v>34069.891642009999</v>
      </c>
      <c r="P25" s="11">
        <f>INDEX('Base de dados IHS'!$A$1:$V$676,MATCH($N25,'Base de dados IHS'!$C$1:$C$676,0),MATCH($P$1,'Base de dados IHS'!$A$1:$V$1,0))</f>
        <v>41316.84413338</v>
      </c>
      <c r="Q25" s="131">
        <f>INDEX('Base de dados IHS'!$A$1:$V$676,MATCH($N25,'Base de dados IHS'!$C$1:$C$676,0),MATCH($Q$1,'Base de dados IHS'!$A$1:$V$1,0))</f>
        <v>7.4963275399760675E-5</v>
      </c>
      <c r="R25" s="131">
        <f>INDEX('Base de dados IHS'!$A$1:$V$676,MATCH($N25,'Base de dados IHS'!$C$1:$C$676,0),MATCH($R$1,'Base de dados IHS'!$A$1:$V$1,0))</f>
        <v>7.7242161567263966E-5</v>
      </c>
      <c r="S25" s="131">
        <f>INDEX('Base de dados IHS'!$A$1:$V$676,MATCH($N25,'Base de dados IHS'!$C$1:$C$676,0),MATCH($S$1,'Base de dados IHS'!$A$1:$V$1,0))</f>
        <v>2.2788861675032907E-6</v>
      </c>
      <c r="T25" t="str">
        <f>IF(Q25&lt;'Cenario A ranking setor PIB'!$G$114,"N","Y")</f>
        <v>N</v>
      </c>
    </row>
    <row r="26" spans="1:20" hidden="1" x14ac:dyDescent="0.45">
      <c r="A26" s="293" t="s">
        <v>153</v>
      </c>
      <c r="B26" s="297" t="s">
        <v>8</v>
      </c>
      <c r="C26" s="297" t="s">
        <v>958</v>
      </c>
      <c r="D26" s="311">
        <v>5.4356740099999996</v>
      </c>
      <c r="E26" s="311">
        <v>8.7731239399999996</v>
      </c>
      <c r="F26" s="302">
        <f t="shared" si="0"/>
        <v>0.61399008179300285</v>
      </c>
      <c r="G26" s="311">
        <v>8.4543038399999997</v>
      </c>
      <c r="H26" s="311">
        <v>8.7731239399999996</v>
      </c>
      <c r="I26" s="302">
        <f t="shared" si="1"/>
        <v>3.7710982007951976E-2</v>
      </c>
      <c r="J26" s="311">
        <v>10.217213040000001</v>
      </c>
      <c r="K26" s="311">
        <v>11.02378315</v>
      </c>
      <c r="L26" s="311">
        <v>11.394469539999999</v>
      </c>
      <c r="M26" s="312">
        <v>12.33032364</v>
      </c>
      <c r="N26" t="str">
        <f t="shared" si="2"/>
        <v>OmanManufacture of other transport equipment (C30)</v>
      </c>
      <c r="O26" s="11">
        <f>INDEX('Base de dados IHS'!$A$1:$V$676,MATCH($N26,'Base de dados IHS'!$C$1:$C$676,0),MATCH($O$1,'Base de dados IHS'!$A$1:$V$1,0))</f>
        <v>83456.391863790006</v>
      </c>
      <c r="P26" s="11">
        <f>INDEX('Base de dados IHS'!$A$1:$V$676,MATCH($N26,'Base de dados IHS'!$C$1:$C$676,0),MATCH($P$1,'Base de dados IHS'!$A$1:$V$1,0))</f>
        <v>87715.792114070005</v>
      </c>
      <c r="Q26" s="131">
        <f>INDEX('Base de dados IHS'!$A$1:$V$676,MATCH($N26,'Base de dados IHS'!$C$1:$C$676,0),MATCH($Q$1,'Base de dados IHS'!$A$1:$V$1,0))</f>
        <v>1.0130205309856137E-4</v>
      </c>
      <c r="R26" s="131">
        <f>INDEX('Base de dados IHS'!$A$1:$V$676,MATCH($N26,'Base de dados IHS'!$C$1:$C$676,0),MATCH($R$1,'Base de dados IHS'!$A$1:$V$1,0))</f>
        <v>1.000176106098545E-4</v>
      </c>
      <c r="S26" s="131">
        <f>INDEX('Base de dados IHS'!$A$1:$V$676,MATCH($N26,'Base de dados IHS'!$C$1:$C$676,0),MATCH($S$1,'Base de dados IHS'!$A$1:$V$1,0))</f>
        <v>-1.2844424887068726E-6</v>
      </c>
      <c r="T26" t="str">
        <f>IF(Q26&lt;'Cenario A ranking setor PIB'!$G$114,"N","Y")</f>
        <v>N</v>
      </c>
    </row>
    <row r="27" spans="1:20" hidden="1" x14ac:dyDescent="0.45">
      <c r="A27" s="293" t="s">
        <v>158</v>
      </c>
      <c r="B27" s="297" t="s">
        <v>8</v>
      </c>
      <c r="C27" s="297" t="s">
        <v>958</v>
      </c>
      <c r="D27" s="311">
        <v>0.66303608999999997</v>
      </c>
      <c r="E27" s="311">
        <v>0.89825012999999998</v>
      </c>
      <c r="F27" s="302">
        <f t="shared" si="0"/>
        <v>0.35475299692962414</v>
      </c>
      <c r="G27" s="311">
        <v>0.75892179999999998</v>
      </c>
      <c r="H27" s="311">
        <v>0.89825012999999998</v>
      </c>
      <c r="I27" s="302">
        <f t="shared" si="1"/>
        <v>0.18358720226510816</v>
      </c>
      <c r="J27" s="311">
        <v>0.97805964999999995</v>
      </c>
      <c r="K27" s="311">
        <v>1.11413071</v>
      </c>
      <c r="L27" s="311">
        <v>1.2336121600000001</v>
      </c>
      <c r="M27" s="312">
        <v>1.5846221</v>
      </c>
      <c r="N27" t="str">
        <f t="shared" si="2"/>
        <v>GhanaManufacture of other transport equipment (C30)</v>
      </c>
      <c r="O27" s="11">
        <f>INDEX('Base de dados IHS'!$A$1:$V$676,MATCH($N27,'Base de dados IHS'!$C$1:$C$676,0),MATCH($O$1,'Base de dados IHS'!$A$1:$V$1,0))</f>
        <v>54050.698328470004</v>
      </c>
      <c r="P27" s="11">
        <f>INDEX('Base de dados IHS'!$A$1:$V$676,MATCH($N27,'Base de dados IHS'!$C$1:$C$676,0),MATCH($P$1,'Base de dados IHS'!$A$1:$V$1,0))</f>
        <v>72367.878986030002</v>
      </c>
      <c r="Q27" s="131">
        <f>INDEX('Base de dados IHS'!$A$1:$V$676,MATCH($N27,'Base de dados IHS'!$C$1:$C$676,0),MATCH($Q$1,'Base de dados IHS'!$A$1:$V$1,0))</f>
        <v>1.4040924973586416E-5</v>
      </c>
      <c r="R27" s="131">
        <f>INDEX('Base de dados IHS'!$A$1:$V$676,MATCH($N27,'Base de dados IHS'!$C$1:$C$676,0),MATCH($R$1,'Base de dados IHS'!$A$1:$V$1,0))</f>
        <v>1.2412276587149935E-5</v>
      </c>
      <c r="S27" s="131">
        <f>INDEX('Base de dados IHS'!$A$1:$V$676,MATCH($N27,'Base de dados IHS'!$C$1:$C$676,0),MATCH($S$1,'Base de dados IHS'!$A$1:$V$1,0))</f>
        <v>-1.6286483864364811E-6</v>
      </c>
      <c r="T27" t="str">
        <f>IF(Q27&lt;'Cenario A ranking setor PIB'!$G$114,"N","Y")</f>
        <v>N</v>
      </c>
    </row>
    <row r="28" spans="1:20" hidden="1" x14ac:dyDescent="0.45">
      <c r="A28" s="293" t="s">
        <v>169</v>
      </c>
      <c r="B28" s="297" t="s">
        <v>8</v>
      </c>
      <c r="C28" s="297" t="s">
        <v>958</v>
      </c>
      <c r="D28" s="311">
        <v>2.8590492200000002</v>
      </c>
      <c r="E28" s="311">
        <v>3.6040233499999998</v>
      </c>
      <c r="F28" s="302">
        <f t="shared" si="0"/>
        <v>0.26056708810350582</v>
      </c>
      <c r="G28" s="311">
        <v>3.2933955699999999</v>
      </c>
      <c r="H28" s="311">
        <v>3.6040233499999998</v>
      </c>
      <c r="I28" s="302">
        <f t="shared" si="1"/>
        <v>9.4318393705739911E-2</v>
      </c>
      <c r="J28" s="311">
        <v>4.07307022</v>
      </c>
      <c r="K28" s="311">
        <v>4.4974672900000003</v>
      </c>
      <c r="L28" s="311">
        <v>4.86088364</v>
      </c>
      <c r="M28" s="312">
        <v>5.8684743499999996</v>
      </c>
      <c r="N28" t="str">
        <f t="shared" si="2"/>
        <v>Costa RicaManufacture of other transport equipment (C30)</v>
      </c>
      <c r="O28" s="11">
        <f>INDEX('Base de dados IHS'!$A$1:$V$676,MATCH($N28,'Base de dados IHS'!$C$1:$C$676,0),MATCH($O$1,'Base de dados IHS'!$A$1:$V$1,0))</f>
        <v>56790.776904650003</v>
      </c>
      <c r="P28" s="11">
        <f>INDEX('Base de dados IHS'!$A$1:$V$676,MATCH($N28,'Base de dados IHS'!$C$1:$C$676,0),MATCH($P$1,'Base de dados IHS'!$A$1:$V$1,0))</f>
        <v>66933.267445050005</v>
      </c>
      <c r="Q28" s="131">
        <f>INDEX('Base de dados IHS'!$A$1:$V$676,MATCH($N28,'Base de dados IHS'!$C$1:$C$676,0),MATCH($Q$1,'Base de dados IHS'!$A$1:$V$1,0))</f>
        <v>5.7991732980330797E-5</v>
      </c>
      <c r="R28" s="131">
        <f>INDEX('Base de dados IHS'!$A$1:$V$676,MATCH($N28,'Base de dados IHS'!$C$1:$C$676,0),MATCH($R$1,'Base de dados IHS'!$A$1:$V$1,0))</f>
        <v>5.3845023372850933E-5</v>
      </c>
      <c r="S28" s="131">
        <f>INDEX('Base de dados IHS'!$A$1:$V$676,MATCH($N28,'Base de dados IHS'!$C$1:$C$676,0),MATCH($S$1,'Base de dados IHS'!$A$1:$V$1,0))</f>
        <v>-4.1467096074798631E-6</v>
      </c>
      <c r="T28" t="str">
        <f>IF(Q28&lt;'Cenario A ranking setor PIB'!$G$114,"N","Y")</f>
        <v>N</v>
      </c>
    </row>
    <row r="29" spans="1:20" hidden="1" x14ac:dyDescent="0.45">
      <c r="A29" s="293" t="s">
        <v>173</v>
      </c>
      <c r="B29" s="297" t="s">
        <v>8</v>
      </c>
      <c r="C29" s="297" t="s">
        <v>958</v>
      </c>
      <c r="D29" s="311">
        <v>1.67611957</v>
      </c>
      <c r="E29" s="311">
        <v>2.8747440700000002</v>
      </c>
      <c r="F29" s="302">
        <f t="shared" si="0"/>
        <v>0.71511873105807133</v>
      </c>
      <c r="G29" s="311">
        <v>2.86195734</v>
      </c>
      <c r="H29" s="311">
        <v>2.8747440700000002</v>
      </c>
      <c r="I29" s="302">
        <f t="shared" si="1"/>
        <v>4.4678269033877616E-3</v>
      </c>
      <c r="J29" s="311">
        <v>3.0480173800000001</v>
      </c>
      <c r="K29" s="311">
        <v>3.27367264</v>
      </c>
      <c r="L29" s="311">
        <v>3.4429652000000002</v>
      </c>
      <c r="M29" s="312">
        <v>3.8284965</v>
      </c>
      <c r="N29" t="str">
        <f t="shared" si="2"/>
        <v>PanamaManufacture of other transport equipment (C30)</v>
      </c>
      <c r="O29" s="11">
        <f>INDEX('Base de dados IHS'!$A$1:$V$676,MATCH($N29,'Base de dados IHS'!$C$1:$C$676,0),MATCH($O$1,'Base de dados IHS'!$A$1:$V$1,0))</f>
        <v>58921.61186117</v>
      </c>
      <c r="P29" s="11">
        <f>INDEX('Base de dados IHS'!$A$1:$V$676,MATCH($N29,'Base de dados IHS'!$C$1:$C$676,0),MATCH($P$1,'Base de dados IHS'!$A$1:$V$1,0))</f>
        <v>65983.988595749994</v>
      </c>
      <c r="Q29" s="131">
        <f>INDEX('Base de dados IHS'!$A$1:$V$676,MATCH($N29,'Base de dados IHS'!$C$1:$C$676,0),MATCH($Q$1,'Base de dados IHS'!$A$1:$V$1,0))</f>
        <v>4.8572285271884452E-5</v>
      </c>
      <c r="R29" s="131">
        <f>INDEX('Base de dados IHS'!$A$1:$V$676,MATCH($N29,'Base de dados IHS'!$C$1:$C$676,0),MATCH($R$1,'Base de dados IHS'!$A$1:$V$1,0))</f>
        <v>4.3567297630521863E-5</v>
      </c>
      <c r="S29" s="131">
        <f>INDEX('Base de dados IHS'!$A$1:$V$676,MATCH($N29,'Base de dados IHS'!$C$1:$C$676,0),MATCH($S$1,'Base de dados IHS'!$A$1:$V$1,0))</f>
        <v>-5.0049876413625884E-6</v>
      </c>
      <c r="T29" t="str">
        <f>IF(Q29&lt;'Cenario A ranking setor PIB'!$G$114,"N","Y")</f>
        <v>N</v>
      </c>
    </row>
    <row r="30" spans="1:20" hidden="1" x14ac:dyDescent="0.45">
      <c r="A30" s="293" t="s">
        <v>155</v>
      </c>
      <c r="B30" s="297" t="s">
        <v>8</v>
      </c>
      <c r="C30" s="297" t="s">
        <v>958</v>
      </c>
      <c r="D30" s="311">
        <v>20.799723950000001</v>
      </c>
      <c r="E30" s="311">
        <v>26.56131259</v>
      </c>
      <c r="F30" s="302">
        <f t="shared" si="0"/>
        <v>0.27700313013048428</v>
      </c>
      <c r="G30" s="311">
        <v>27.214471329999999</v>
      </c>
      <c r="H30" s="311">
        <v>26.56131259</v>
      </c>
      <c r="I30" s="302">
        <f t="shared" si="1"/>
        <v>-2.4000419926584637E-2</v>
      </c>
      <c r="J30" s="311">
        <v>31.518957489999998</v>
      </c>
      <c r="K30" s="311">
        <v>35.113088279999999</v>
      </c>
      <c r="L30" s="311">
        <v>36.656131950000002</v>
      </c>
      <c r="M30" s="312">
        <v>39.446358490000001</v>
      </c>
      <c r="N30" t="str">
        <f t="shared" si="2"/>
        <v>QatarManufacture of other transport equipment (C30)</v>
      </c>
      <c r="O30" s="11">
        <f>INDEX('Base de dados IHS'!$A$1:$V$676,MATCH($N30,'Base de dados IHS'!$C$1:$C$676,0),MATCH($O$1,'Base de dados IHS'!$A$1:$V$1,0))</f>
        <v>170576.82347613</v>
      </c>
      <c r="P30" s="11">
        <f>INDEX('Base de dados IHS'!$A$1:$V$676,MATCH($N30,'Base de dados IHS'!$C$1:$C$676,0),MATCH($P$1,'Base de dados IHS'!$A$1:$V$1,0))</f>
        <v>172715.39534024999</v>
      </c>
      <c r="Q30" s="131">
        <f>INDEX('Base de dados IHS'!$A$1:$V$676,MATCH($N30,'Base de dados IHS'!$C$1:$C$676,0),MATCH($Q$1,'Base de dados IHS'!$A$1:$V$1,0))</f>
        <v>1.5954378077516674E-4</v>
      </c>
      <c r="R30" s="131">
        <f>INDEX('Base de dados IHS'!$A$1:$V$676,MATCH($N30,'Base de dados IHS'!$C$1:$C$676,0),MATCH($R$1,'Base de dados IHS'!$A$1:$V$1,0))</f>
        <v>1.5378659521158558E-4</v>
      </c>
      <c r="S30" s="131">
        <f>INDEX('Base de dados IHS'!$A$1:$V$676,MATCH($N30,'Base de dados IHS'!$C$1:$C$676,0),MATCH($S$1,'Base de dados IHS'!$A$1:$V$1,0))</f>
        <v>-5.7571855635811628E-6</v>
      </c>
      <c r="T30" t="str">
        <f>IF(Q30&lt;'Cenario A ranking setor PIB'!$G$114,"N","Y")</f>
        <v>N</v>
      </c>
    </row>
    <row r="31" spans="1:20" hidden="1" x14ac:dyDescent="0.45">
      <c r="A31" s="293" t="s">
        <v>167</v>
      </c>
      <c r="B31" s="297" t="s">
        <v>8</v>
      </c>
      <c r="C31" s="297" t="s">
        <v>958</v>
      </c>
      <c r="D31" s="311">
        <v>67.359912260000002</v>
      </c>
      <c r="E31" s="311">
        <v>81.373719800000003</v>
      </c>
      <c r="F31" s="302">
        <f t="shared" si="0"/>
        <v>0.20804373209259297</v>
      </c>
      <c r="G31" s="311">
        <v>78.240946350000002</v>
      </c>
      <c r="H31" s="311">
        <v>81.373719800000003</v>
      </c>
      <c r="I31" s="302">
        <f t="shared" si="1"/>
        <v>4.0040076151251824E-2</v>
      </c>
      <c r="J31" s="311">
        <v>97.972999520000002</v>
      </c>
      <c r="K31" s="311">
        <v>101.82374634999999</v>
      </c>
      <c r="L31" s="311">
        <v>103.81095166999999</v>
      </c>
      <c r="M31" s="312">
        <v>108.94167469999999</v>
      </c>
      <c r="N31" t="str">
        <f t="shared" si="2"/>
        <v>Hong Kong SARManufacture of other transport equipment (C30)</v>
      </c>
      <c r="O31" s="11">
        <f>INDEX('Base de dados IHS'!$A$1:$V$676,MATCH($N31,'Base de dados IHS'!$C$1:$C$676,0),MATCH($O$1,'Base de dados IHS'!$A$1:$V$1,0))</f>
        <v>338559.97086627001</v>
      </c>
      <c r="P31" s="11">
        <f>INDEX('Base de dados IHS'!$A$1:$V$676,MATCH($N31,'Base de dados IHS'!$C$1:$C$676,0),MATCH($P$1,'Base de dados IHS'!$A$1:$V$1,0))</f>
        <v>361197.76240428002</v>
      </c>
      <c r="Q31" s="131">
        <f>INDEX('Base de dados IHS'!$A$1:$V$676,MATCH($N31,'Base de dados IHS'!$C$1:$C$676,0),MATCH($Q$1,'Base de dados IHS'!$A$1:$V$1,0))</f>
        <v>2.3109922342504246E-4</v>
      </c>
      <c r="R31" s="131">
        <f>INDEX('Base de dados IHS'!$A$1:$V$676,MATCH($N31,'Base de dados IHS'!$C$1:$C$676,0),MATCH($R$1,'Base de dados IHS'!$A$1:$V$1,0))</f>
        <v>2.2528854901631519E-4</v>
      </c>
      <c r="S31" s="131">
        <f>INDEX('Base de dados IHS'!$A$1:$V$676,MATCH($N31,'Base de dados IHS'!$C$1:$C$676,0),MATCH($S$1,'Base de dados IHS'!$A$1:$V$1,0))</f>
        <v>-5.8106744087272689E-6</v>
      </c>
      <c r="T31" t="str">
        <f>IF(Q31&lt;'Cenario A ranking setor PIB'!$G$114,"N","Y")</f>
        <v>N</v>
      </c>
    </row>
    <row r="32" spans="1:20" x14ac:dyDescent="0.45">
      <c r="A32" s="293" t="s">
        <v>111</v>
      </c>
      <c r="B32" s="297" t="s">
        <v>8</v>
      </c>
      <c r="C32" s="297" t="s">
        <v>958</v>
      </c>
      <c r="D32" s="311">
        <v>723.30021108999995</v>
      </c>
      <c r="E32" s="311">
        <v>1264.9185333299999</v>
      </c>
      <c r="F32" s="302">
        <f t="shared" si="0"/>
        <v>0.74881537974915191</v>
      </c>
      <c r="G32" s="311">
        <v>1130.5023361799999</v>
      </c>
      <c r="H32" s="311">
        <v>1264.9185333299999</v>
      </c>
      <c r="I32" s="302">
        <f t="shared" si="1"/>
        <v>0.11889953063183945</v>
      </c>
      <c r="J32" s="311">
        <v>1176.57918481</v>
      </c>
      <c r="K32" s="311">
        <v>1247.2372937099999</v>
      </c>
      <c r="L32" s="311">
        <v>1311.96996758</v>
      </c>
      <c r="M32" s="312">
        <v>1373.74233439</v>
      </c>
      <c r="N32" t="str">
        <f t="shared" si="2"/>
        <v>Czech RepublicManufacture of other transport equipment (C30)</v>
      </c>
      <c r="O32" s="11">
        <f>INDEX('Base de dados IHS'!$A$1:$V$676,MATCH($N32,'Base de dados IHS'!$C$1:$C$676,0),MATCH($O$1,'Base de dados IHS'!$A$1:$V$1,0))</f>
        <v>220291.04889604999</v>
      </c>
      <c r="P32" s="11">
        <f>INDEX('Base de dados IHS'!$A$1:$V$676,MATCH($N32,'Base de dados IHS'!$C$1:$C$676,0),MATCH($P$1,'Base de dados IHS'!$A$1:$V$1,0))</f>
        <v>247058.51905223</v>
      </c>
      <c r="Q32" s="131">
        <f>INDEX('Base de dados IHS'!$A$1:$V$676,MATCH($N32,'Base de dados IHS'!$C$1:$C$676,0),MATCH($Q$1,'Base de dados IHS'!$A$1:$V$1,0))</f>
        <v>5.1318577937928683E-3</v>
      </c>
      <c r="R32" s="131">
        <f>INDEX('Base de dados IHS'!$A$1:$V$676,MATCH($N32,'Base de dados IHS'!$C$1:$C$676,0),MATCH($R$1,'Base de dados IHS'!$A$1:$V$1,0))</f>
        <v>5.1199146590148016E-3</v>
      </c>
      <c r="S32" s="131">
        <f>INDEX('Base de dados IHS'!$A$1:$V$676,MATCH($N32,'Base de dados IHS'!$C$1:$C$676,0),MATCH($S$1,'Base de dados IHS'!$A$1:$V$1,0))</f>
        <v>-1.1943134778066682E-5</v>
      </c>
      <c r="T32" t="str">
        <f>IF(Q32&lt;'Cenario A ranking setor PIB'!$G$114,"N","Y")</f>
        <v>Y</v>
      </c>
    </row>
    <row r="33" spans="1:20" hidden="1" x14ac:dyDescent="0.45">
      <c r="A33" s="293" t="s">
        <v>177</v>
      </c>
      <c r="B33" s="297" t="s">
        <v>8</v>
      </c>
      <c r="C33" s="297" t="s">
        <v>958</v>
      </c>
      <c r="D33" s="311">
        <v>3.8774380700000002</v>
      </c>
      <c r="E33" s="311">
        <v>4.9838762299999999</v>
      </c>
      <c r="F33" s="302">
        <f t="shared" si="0"/>
        <v>0.28535289023971422</v>
      </c>
      <c r="G33" s="311">
        <v>4.9877362200000004</v>
      </c>
      <c r="H33" s="311">
        <v>4.9838762299999999</v>
      </c>
      <c r="I33" s="302">
        <f t="shared" si="1"/>
        <v>-7.7389617849532577E-4</v>
      </c>
      <c r="J33" s="311">
        <v>5.6848488100000001</v>
      </c>
      <c r="K33" s="311">
        <v>7.4011867699999998</v>
      </c>
      <c r="L33" s="311">
        <v>9.1049364199999996</v>
      </c>
      <c r="M33" s="312">
        <v>12.00375156</v>
      </c>
      <c r="N33" t="str">
        <f t="shared" si="2"/>
        <v>BoliviaManufacture of other transport equipment (C30)</v>
      </c>
      <c r="O33" s="11">
        <f>INDEX('Base de dados IHS'!$A$1:$V$676,MATCH($N33,'Base de dados IHS'!$C$1:$C$676,0),MATCH($O$1,'Base de dados IHS'!$A$1:$V$1,0))</f>
        <v>35334.894672080001</v>
      </c>
      <c r="P33" s="11">
        <f>INDEX('Base de dados IHS'!$A$1:$V$676,MATCH($N33,'Base de dados IHS'!$C$1:$C$676,0),MATCH($P$1,'Base de dados IHS'!$A$1:$V$1,0))</f>
        <v>39600.741188879998</v>
      </c>
      <c r="Q33" s="131">
        <f>INDEX('Base de dados IHS'!$A$1:$V$676,MATCH($N33,'Base de dados IHS'!$C$1:$C$676,0),MATCH($Q$1,'Base de dados IHS'!$A$1:$V$1,0))</f>
        <v>1.4115610832543613E-4</v>
      </c>
      <c r="R33" s="131">
        <f>INDEX('Base de dados IHS'!$A$1:$V$676,MATCH($N33,'Base de dados IHS'!$C$1:$C$676,0),MATCH($R$1,'Base de dados IHS'!$A$1:$V$1,0))</f>
        <v>1.2585310477470271E-4</v>
      </c>
      <c r="S33" s="131">
        <f>INDEX('Base de dados IHS'!$A$1:$V$676,MATCH($N33,'Base de dados IHS'!$C$1:$C$676,0),MATCH($S$1,'Base de dados IHS'!$A$1:$V$1,0))</f>
        <v>-1.5303003550733423E-5</v>
      </c>
      <c r="T33" t="str">
        <f>IF(Q33&lt;'Cenario A ranking setor PIB'!$G$114,"N","Y")</f>
        <v>N</v>
      </c>
    </row>
    <row r="34" spans="1:20" hidden="1" x14ac:dyDescent="0.45">
      <c r="A34" s="293" t="s">
        <v>146</v>
      </c>
      <c r="B34" s="297" t="s">
        <v>8</v>
      </c>
      <c r="C34" s="297" t="s">
        <v>958</v>
      </c>
      <c r="D34" s="311">
        <v>21.2576319</v>
      </c>
      <c r="E34" s="311">
        <v>26.283041260000001</v>
      </c>
      <c r="F34" s="302">
        <f t="shared" ref="F34:F65" si="3">H34/D34-1</f>
        <v>0.2364049478154715</v>
      </c>
      <c r="G34" s="311">
        <v>24.738767320000001</v>
      </c>
      <c r="H34" s="311">
        <v>26.283041260000001</v>
      </c>
      <c r="I34" s="302">
        <f t="shared" ref="I34:I65" si="4">H34/G34-1</f>
        <v>6.2423237181730373E-2</v>
      </c>
      <c r="J34" s="311">
        <v>30.499090649999999</v>
      </c>
      <c r="K34" s="311">
        <v>40.74140311</v>
      </c>
      <c r="L34" s="311">
        <v>48.811663639999999</v>
      </c>
      <c r="M34" s="312">
        <v>73.044282769999995</v>
      </c>
      <c r="N34" t="str">
        <f t="shared" ref="N34:N65" si="5">A34&amp;B34</f>
        <v>EgyptManufacture of other transport equipment (C30)</v>
      </c>
      <c r="O34" s="11">
        <f>INDEX('Base de dados IHS'!$A$1:$V$676,MATCH($N34,'Base de dados IHS'!$C$1:$C$676,0),MATCH($O$1,'Base de dados IHS'!$A$1:$V$1,0))</f>
        <v>276522.47435759002</v>
      </c>
      <c r="P34" s="11">
        <f>INDEX('Base de dados IHS'!$A$1:$V$676,MATCH($N34,'Base de dados IHS'!$C$1:$C$676,0),MATCH($P$1,'Base de dados IHS'!$A$1:$V$1,0))</f>
        <v>357883.01385108999</v>
      </c>
      <c r="Q34" s="131">
        <f>INDEX('Base de dados IHS'!$A$1:$V$676,MATCH($N34,'Base de dados IHS'!$C$1:$C$676,0),MATCH($Q$1,'Base de dados IHS'!$A$1:$V$1,0))</f>
        <v>8.946385778397389E-5</v>
      </c>
      <c r="R34" s="131">
        <f>INDEX('Base de dados IHS'!$A$1:$V$676,MATCH($N34,'Base de dados IHS'!$C$1:$C$676,0),MATCH($R$1,'Base de dados IHS'!$A$1:$V$1,0))</f>
        <v>7.3440314971014522E-5</v>
      </c>
      <c r="S34" s="131">
        <f>INDEX('Base de dados IHS'!$A$1:$V$676,MATCH($N34,'Base de dados IHS'!$C$1:$C$676,0),MATCH($S$1,'Base de dados IHS'!$A$1:$V$1,0))</f>
        <v>-1.6023542812959368E-5</v>
      </c>
      <c r="T34" t="str">
        <f>IF(Q34&lt;'Cenario A ranking setor PIB'!$G$114,"N","Y")</f>
        <v>N</v>
      </c>
    </row>
    <row r="35" spans="1:20" hidden="1" x14ac:dyDescent="0.45">
      <c r="A35" s="293" t="s">
        <v>105</v>
      </c>
      <c r="B35" s="297" t="s">
        <v>8</v>
      </c>
      <c r="C35" s="297" t="s">
        <v>958</v>
      </c>
      <c r="D35" s="311">
        <v>232.61662047999999</v>
      </c>
      <c r="E35" s="311">
        <v>260.62174872999998</v>
      </c>
      <c r="F35" s="302">
        <f t="shared" si="3"/>
        <v>0.12039177678796964</v>
      </c>
      <c r="G35" s="311">
        <v>261.34175647000001</v>
      </c>
      <c r="H35" s="311">
        <v>260.62174872999998</v>
      </c>
      <c r="I35" s="302">
        <f t="shared" si="4"/>
        <v>-2.7550428593016152E-3</v>
      </c>
      <c r="J35" s="311">
        <v>301.82503634</v>
      </c>
      <c r="K35" s="311">
        <v>329.81927873000001</v>
      </c>
      <c r="L35" s="311">
        <v>365.49562092000002</v>
      </c>
      <c r="M35" s="312">
        <v>432.93345110000001</v>
      </c>
      <c r="N35" t="str">
        <f t="shared" si="5"/>
        <v>Saudi ArabiaManufacture of other transport equipment (C30)</v>
      </c>
      <c r="O35" s="11">
        <f>INDEX('Base de dados IHS'!$A$1:$V$676,MATCH($N35,'Base de dados IHS'!$C$1:$C$676,0),MATCH($O$1,'Base de dados IHS'!$A$1:$V$1,0))</f>
        <v>791157.39281293005</v>
      </c>
      <c r="P35" s="11">
        <f>INDEX('Base de dados IHS'!$A$1:$V$676,MATCH($N35,'Base de dados IHS'!$C$1:$C$676,0),MATCH($P$1,'Base de dados IHS'!$A$1:$V$1,0))</f>
        <v>836861.61444072996</v>
      </c>
      <c r="Q35" s="131">
        <f>INDEX('Base de dados IHS'!$A$1:$V$676,MATCH($N35,'Base de dados IHS'!$C$1:$C$676,0),MATCH($Q$1,'Base de dados IHS'!$A$1:$V$1,0))</f>
        <v>3.3032840095294984E-4</v>
      </c>
      <c r="R35" s="131">
        <f>INDEX('Base de dados IHS'!$A$1:$V$676,MATCH($N35,'Base de dados IHS'!$C$1:$C$676,0),MATCH($R$1,'Base de dados IHS'!$A$1:$V$1,0))</f>
        <v>3.1142753381533945E-4</v>
      </c>
      <c r="S35" s="131">
        <f>INDEX('Base de dados IHS'!$A$1:$V$676,MATCH($N35,'Base de dados IHS'!$C$1:$C$676,0),MATCH($S$1,'Base de dados IHS'!$A$1:$V$1,0))</f>
        <v>-1.8900867137610386E-5</v>
      </c>
      <c r="T35" t="str">
        <f>IF(Q35&lt;'Cenario A ranking setor PIB'!$G$114,"N","Y")</f>
        <v>N</v>
      </c>
    </row>
    <row r="36" spans="1:20" hidden="1" x14ac:dyDescent="0.45">
      <c r="A36" s="293" t="s">
        <v>165</v>
      </c>
      <c r="B36" s="297" t="s">
        <v>8</v>
      </c>
      <c r="C36" s="297" t="s">
        <v>958</v>
      </c>
      <c r="D36" s="311">
        <v>104.74604678</v>
      </c>
      <c r="E36" s="311">
        <v>104.42502168</v>
      </c>
      <c r="F36" s="302">
        <f t="shared" si="3"/>
        <v>-3.0647944229748036E-3</v>
      </c>
      <c r="G36" s="311">
        <v>108.18058499</v>
      </c>
      <c r="H36" s="311">
        <v>104.42502168</v>
      </c>
      <c r="I36" s="302">
        <f t="shared" si="4"/>
        <v>-3.4715686833706405E-2</v>
      </c>
      <c r="J36" s="311">
        <v>116.4086053</v>
      </c>
      <c r="K36" s="311">
        <v>121.07123344</v>
      </c>
      <c r="L36" s="311">
        <v>125.23339672</v>
      </c>
      <c r="M36" s="312">
        <v>137.82527622999999</v>
      </c>
      <c r="N36" t="str">
        <f t="shared" si="5"/>
        <v>EcuadorManufacture of other transport equipment (C30)</v>
      </c>
      <c r="O36" s="11">
        <f>INDEX('Base de dados IHS'!$A$1:$V$676,MATCH($N36,'Base de dados IHS'!$C$1:$C$676,0),MATCH($O$1,'Base de dados IHS'!$A$1:$V$1,0))</f>
        <v>105544.34131757999</v>
      </c>
      <c r="P36" s="11">
        <f>INDEX('Base de dados IHS'!$A$1:$V$676,MATCH($N36,'Base de dados IHS'!$C$1:$C$676,0),MATCH($P$1,'Base de dados IHS'!$A$1:$V$1,0))</f>
        <v>103911.06087433999</v>
      </c>
      <c r="Q36" s="131">
        <f>INDEX('Base de dados IHS'!$A$1:$V$676,MATCH($N36,'Base de dados IHS'!$C$1:$C$676,0),MATCH($Q$1,'Base de dados IHS'!$A$1:$V$1,0))</f>
        <v>1.0249775936777854E-3</v>
      </c>
      <c r="R36" s="131">
        <f>INDEX('Base de dados IHS'!$A$1:$V$676,MATCH($N36,'Base de dados IHS'!$C$1:$C$676,0),MATCH($R$1,'Base de dados IHS'!$A$1:$V$1,0))</f>
        <v>1.0049461607006549E-3</v>
      </c>
      <c r="S36" s="131">
        <f>INDEX('Base de dados IHS'!$A$1:$V$676,MATCH($N36,'Base de dados IHS'!$C$1:$C$676,0),MATCH($S$1,'Base de dados IHS'!$A$1:$V$1,0))</f>
        <v>-2.0031432977130493E-5</v>
      </c>
      <c r="T36" t="str">
        <f>IF(Q36&lt;'Cenario A ranking setor PIB'!$G$114,"N","Y")</f>
        <v>N</v>
      </c>
    </row>
    <row r="37" spans="1:20" hidden="1" x14ac:dyDescent="0.45">
      <c r="A37" s="293" t="s">
        <v>175</v>
      </c>
      <c r="B37" s="297" t="s">
        <v>8</v>
      </c>
      <c r="C37" s="297" t="s">
        <v>958</v>
      </c>
      <c r="D37" s="311">
        <v>13.11632627</v>
      </c>
      <c r="E37" s="311">
        <v>16.615749529999999</v>
      </c>
      <c r="F37" s="302">
        <f t="shared" si="3"/>
        <v>0.26679904021631184</v>
      </c>
      <c r="G37" s="311">
        <v>14.9166113</v>
      </c>
      <c r="H37" s="311">
        <v>16.615749529999999</v>
      </c>
      <c r="I37" s="302">
        <f t="shared" si="4"/>
        <v>0.11390913095657318</v>
      </c>
      <c r="J37" s="311">
        <v>19.17103659</v>
      </c>
      <c r="K37" s="311">
        <v>23.84577062</v>
      </c>
      <c r="L37" s="311">
        <v>27.94138113</v>
      </c>
      <c r="M37" s="312">
        <v>39.76740865</v>
      </c>
      <c r="N37" t="str">
        <f t="shared" si="5"/>
        <v>KenyaManufacture of other transport equipment (C30)</v>
      </c>
      <c r="O37" s="11">
        <f>INDEX('Base de dados IHS'!$A$1:$V$676,MATCH($N37,'Base de dados IHS'!$C$1:$C$676,0),MATCH($O$1,'Base de dados IHS'!$A$1:$V$1,0))</f>
        <v>83525.195225389994</v>
      </c>
      <c r="P37" s="11">
        <f>INDEX('Base de dados IHS'!$A$1:$V$676,MATCH($N37,'Base de dados IHS'!$C$1:$C$676,0),MATCH($P$1,'Base de dados IHS'!$A$1:$V$1,0))</f>
        <v>107697.99713524</v>
      </c>
      <c r="Q37" s="131">
        <f>INDEX('Base de dados IHS'!$A$1:$V$676,MATCH($N37,'Base de dados IHS'!$C$1:$C$676,0),MATCH($Q$1,'Base de dados IHS'!$A$1:$V$1,0))</f>
        <v>1.7858816444245372E-4</v>
      </c>
      <c r="R37" s="131">
        <f>INDEX('Base de dados IHS'!$A$1:$V$676,MATCH($N37,'Base de dados IHS'!$C$1:$C$676,0),MATCH($R$1,'Base de dados IHS'!$A$1:$V$1,0))</f>
        <v>1.5428095203233022E-4</v>
      </c>
      <c r="S37" s="131">
        <f>INDEX('Base de dados IHS'!$A$1:$V$676,MATCH($N37,'Base de dados IHS'!$C$1:$C$676,0),MATCH($S$1,'Base de dados IHS'!$A$1:$V$1,0))</f>
        <v>-2.4307212410123503E-5</v>
      </c>
      <c r="T37" t="str">
        <f>IF(Q37&lt;'Cenario A ranking setor PIB'!$G$114,"N","Y")</f>
        <v>N</v>
      </c>
    </row>
    <row r="38" spans="1:20" hidden="1" x14ac:dyDescent="0.45">
      <c r="A38" s="293" t="s">
        <v>142</v>
      </c>
      <c r="B38" s="297" t="s">
        <v>8</v>
      </c>
      <c r="C38" s="297" t="s">
        <v>958</v>
      </c>
      <c r="D38" s="311">
        <v>71.148777260000003</v>
      </c>
      <c r="E38" s="311">
        <v>39.831422699999997</v>
      </c>
      <c r="F38" s="302">
        <f t="shared" si="3"/>
        <v>-0.44016715066734802</v>
      </c>
      <c r="G38" s="311">
        <v>55.718975380000003</v>
      </c>
      <c r="H38" s="311">
        <v>39.831422699999997</v>
      </c>
      <c r="I38" s="302">
        <f t="shared" si="4"/>
        <v>-0.285137200956189</v>
      </c>
      <c r="J38" s="311">
        <v>47.155898479999998</v>
      </c>
      <c r="K38" s="311">
        <v>51.130739900000002</v>
      </c>
      <c r="L38" s="311">
        <v>53.87579582</v>
      </c>
      <c r="M38" s="312">
        <v>62.729868719999999</v>
      </c>
      <c r="N38" t="str">
        <f t="shared" si="5"/>
        <v>ArgentinaManufacture of other transport equipment (C30)</v>
      </c>
      <c r="O38" s="11">
        <f>INDEX('Base de dados IHS'!$A$1:$V$676,MATCH($N38,'Base de dados IHS'!$C$1:$C$676,0),MATCH($O$1,'Base de dados IHS'!$A$1:$V$1,0))</f>
        <v>464976.94374428003</v>
      </c>
      <c r="P38" s="11">
        <f>INDEX('Base de dados IHS'!$A$1:$V$676,MATCH($N38,'Base de dados IHS'!$C$1:$C$676,0),MATCH($P$1,'Base de dados IHS'!$A$1:$V$1,0))</f>
        <v>445673.70595729002</v>
      </c>
      <c r="Q38" s="131">
        <f>INDEX('Base de dados IHS'!$A$1:$V$676,MATCH($N38,'Base de dados IHS'!$C$1:$C$676,0),MATCH($Q$1,'Base de dados IHS'!$A$1:$V$1,0))</f>
        <v>1.1983169516173551E-4</v>
      </c>
      <c r="R38" s="131">
        <f>INDEX('Base de dados IHS'!$A$1:$V$676,MATCH($N38,'Base de dados IHS'!$C$1:$C$676,0),MATCH($R$1,'Base de dados IHS'!$A$1:$V$1,0))</f>
        <v>8.9373508393194594E-5</v>
      </c>
      <c r="S38" s="131">
        <f>INDEX('Base de dados IHS'!$A$1:$V$676,MATCH($N38,'Base de dados IHS'!$C$1:$C$676,0),MATCH($S$1,'Base de dados IHS'!$A$1:$V$1,0))</f>
        <v>-3.0458186768540912E-5</v>
      </c>
      <c r="T38" t="str">
        <f>IF(Q38&lt;'Cenario A ranking setor PIB'!$G$114,"N","Y")</f>
        <v>N</v>
      </c>
    </row>
    <row r="39" spans="1:20" x14ac:dyDescent="0.45">
      <c r="A39" s="293" t="s">
        <v>98</v>
      </c>
      <c r="B39" s="297" t="s">
        <v>8</v>
      </c>
      <c r="C39" s="297" t="s">
        <v>958</v>
      </c>
      <c r="D39" s="311">
        <v>14327.19740055</v>
      </c>
      <c r="E39" s="311">
        <v>16807.409939950001</v>
      </c>
      <c r="F39" s="302">
        <f t="shared" si="3"/>
        <v>0.17311219145377232</v>
      </c>
      <c r="G39" s="311">
        <v>15991.771921060001</v>
      </c>
      <c r="H39" s="311">
        <v>16807.409939950001</v>
      </c>
      <c r="I39" s="302">
        <f t="shared" si="4"/>
        <v>5.1003605036153976E-2</v>
      </c>
      <c r="J39" s="311">
        <v>20876.336722489999</v>
      </c>
      <c r="K39" s="311">
        <v>22523.419128599999</v>
      </c>
      <c r="L39" s="311">
        <v>23580.081526589998</v>
      </c>
      <c r="M39" s="312">
        <v>25707.191171319999</v>
      </c>
      <c r="N39" t="str">
        <f t="shared" si="5"/>
        <v>GermanyManufacture of other transport equipment (C30)</v>
      </c>
      <c r="O39" s="11">
        <f>INDEX('Base de dados IHS'!$A$1:$V$676,MATCH($N39,'Base de dados IHS'!$C$1:$C$676,0),MATCH($O$1,'Base de dados IHS'!$A$1:$V$1,0))</f>
        <v>3626843.1759532001</v>
      </c>
      <c r="P39" s="11">
        <f>INDEX('Base de dados IHS'!$A$1:$V$676,MATCH($N39,'Base de dados IHS'!$C$1:$C$676,0),MATCH($P$1,'Base de dados IHS'!$A$1:$V$1,0))</f>
        <v>3849084.4984781002</v>
      </c>
      <c r="Q39" s="131">
        <f>INDEX('Base de dados IHS'!$A$1:$V$676,MATCH($N39,'Base de dados IHS'!$C$1:$C$676,0),MATCH($Q$1,'Base de dados IHS'!$A$1:$V$1,0))</f>
        <v>4.4092813350985523E-3</v>
      </c>
      <c r="R39" s="131">
        <f>INDEX('Base de dados IHS'!$A$1:$V$676,MATCH($N39,'Base de dados IHS'!$C$1:$C$676,0),MATCH($R$1,'Base de dados IHS'!$A$1:$V$1,0))</f>
        <v>4.3665993683941022E-3</v>
      </c>
      <c r="S39" s="131">
        <f>INDEX('Base de dados IHS'!$A$1:$V$676,MATCH($N39,'Base de dados IHS'!$C$1:$C$676,0),MATCH($S$1,'Base de dados IHS'!$A$1:$V$1,0))</f>
        <v>-4.2681966704450139E-5</v>
      </c>
      <c r="T39" t="str">
        <f>IF(Q39&lt;'Cenario A ranking setor PIB'!$G$114,"N","Y")</f>
        <v>Y</v>
      </c>
    </row>
    <row r="40" spans="1:20" hidden="1" x14ac:dyDescent="0.45">
      <c r="A40" s="293" t="s">
        <v>172</v>
      </c>
      <c r="B40" s="297" t="s">
        <v>8</v>
      </c>
      <c r="C40" s="297" t="s">
        <v>958</v>
      </c>
      <c r="D40" s="311">
        <v>20.77758124</v>
      </c>
      <c r="E40" s="311">
        <v>14.493605240000001</v>
      </c>
      <c r="F40" s="302">
        <f t="shared" si="3"/>
        <v>-0.30244020838683527</v>
      </c>
      <c r="G40" s="311">
        <v>17.393952710000001</v>
      </c>
      <c r="H40" s="311">
        <v>14.493605240000001</v>
      </c>
      <c r="I40" s="302">
        <f t="shared" si="4"/>
        <v>-0.16674458752164789</v>
      </c>
      <c r="J40" s="311">
        <v>16.795129800000002</v>
      </c>
      <c r="K40" s="311">
        <v>18.088846570000001</v>
      </c>
      <c r="L40" s="311">
        <v>18.779476500000001</v>
      </c>
      <c r="M40" s="312">
        <v>19.749849900000001</v>
      </c>
      <c r="N40" t="str">
        <f t="shared" si="5"/>
        <v>UruguayManufacture of other transport equipment (C30)</v>
      </c>
      <c r="O40" s="11">
        <f>INDEX('Base de dados IHS'!$A$1:$V$676,MATCH($N40,'Base de dados IHS'!$C$1:$C$676,0),MATCH($O$1,'Base de dados IHS'!$A$1:$V$1,0))</f>
        <v>59449.563607900003</v>
      </c>
      <c r="P40" s="11">
        <f>INDEX('Base de dados IHS'!$A$1:$V$676,MATCH($N40,'Base de dados IHS'!$C$1:$C$676,0),MATCH($P$1,'Base de dados IHS'!$A$1:$V$1,0))</f>
        <v>61243.536031950003</v>
      </c>
      <c r="Q40" s="131">
        <f>INDEX('Base de dados IHS'!$A$1:$V$676,MATCH($N40,'Base de dados IHS'!$C$1:$C$676,0),MATCH($Q$1,'Base de dados IHS'!$A$1:$V$1,0))</f>
        <v>2.9258335392875096E-4</v>
      </c>
      <c r="R40" s="131">
        <f>INDEX('Base de dados IHS'!$A$1:$V$676,MATCH($N40,'Base de dados IHS'!$C$1:$C$676,0),MATCH($R$1,'Base de dados IHS'!$A$1:$V$1,0))</f>
        <v>2.3665526485013643E-4</v>
      </c>
      <c r="S40" s="131">
        <f>INDEX('Base de dados IHS'!$A$1:$V$676,MATCH($N40,'Base de dados IHS'!$C$1:$C$676,0),MATCH($S$1,'Base de dados IHS'!$A$1:$V$1,0))</f>
        <v>-5.5928089078614531E-5</v>
      </c>
      <c r="T40" t="str">
        <f>IF(Q40&lt;'Cenario A ranking setor PIB'!$G$114,"N","Y")</f>
        <v>N</v>
      </c>
    </row>
    <row r="41" spans="1:20" hidden="1" x14ac:dyDescent="0.45">
      <c r="A41" s="293" t="s">
        <v>166</v>
      </c>
      <c r="B41" s="297" t="s">
        <v>8</v>
      </c>
      <c r="C41" s="297" t="s">
        <v>958</v>
      </c>
      <c r="D41" s="311">
        <v>16.121533830000001</v>
      </c>
      <c r="E41" s="311">
        <v>19.6263355</v>
      </c>
      <c r="F41" s="302">
        <f t="shared" si="3"/>
        <v>0.21739877278165909</v>
      </c>
      <c r="G41" s="311">
        <v>17.718292309999999</v>
      </c>
      <c r="H41" s="311">
        <v>19.6263355</v>
      </c>
      <c r="I41" s="302">
        <f t="shared" si="4"/>
        <v>0.10768775887748072</v>
      </c>
      <c r="J41" s="311">
        <v>22.715285130000002</v>
      </c>
      <c r="K41" s="311">
        <v>25.721826409999998</v>
      </c>
      <c r="L41" s="311">
        <v>28.300532059999998</v>
      </c>
      <c r="M41" s="312">
        <v>35.488057550000001</v>
      </c>
      <c r="N41" t="str">
        <f t="shared" si="5"/>
        <v>HondurasManufacture of other transport equipment (C30)</v>
      </c>
      <c r="O41" s="11">
        <f>INDEX('Base de dados IHS'!$A$1:$V$676,MATCH($N41,'Base de dados IHS'!$C$1:$C$676,0),MATCH($O$1,'Base de dados IHS'!$A$1:$V$1,0))</f>
        <v>21608.112082880001</v>
      </c>
      <c r="P41" s="11">
        <f>INDEX('Base de dados IHS'!$A$1:$V$676,MATCH($N41,'Base de dados IHS'!$C$1:$C$676,0),MATCH($P$1,'Base de dados IHS'!$A$1:$V$1,0))</f>
        <v>25703.55773198</v>
      </c>
      <c r="Q41" s="131">
        <f>INDEX('Base de dados IHS'!$A$1:$V$676,MATCH($N41,'Base de dados IHS'!$C$1:$C$676,0),MATCH($Q$1,'Base de dados IHS'!$A$1:$V$1,0))</f>
        <v>8.1998335819620787E-4</v>
      </c>
      <c r="R41" s="131">
        <f>INDEX('Base de dados IHS'!$A$1:$V$676,MATCH($N41,'Base de dados IHS'!$C$1:$C$676,0),MATCH($R$1,'Base de dados IHS'!$A$1:$V$1,0))</f>
        <v>7.6356493932282351E-4</v>
      </c>
      <c r="S41" s="131">
        <f>INDEX('Base de dados IHS'!$A$1:$V$676,MATCH($N41,'Base de dados IHS'!$C$1:$C$676,0),MATCH($S$1,'Base de dados IHS'!$A$1:$V$1,0))</f>
        <v>-5.6418418873384357E-5</v>
      </c>
      <c r="T41" t="str">
        <f>IF(Q41&lt;'Cenario A ranking setor PIB'!$G$114,"N","Y")</f>
        <v>N</v>
      </c>
    </row>
    <row r="42" spans="1:20" hidden="1" x14ac:dyDescent="0.45">
      <c r="A42" s="293" t="s">
        <v>170</v>
      </c>
      <c r="B42" s="297" t="s">
        <v>8</v>
      </c>
      <c r="C42" s="297" t="s">
        <v>958</v>
      </c>
      <c r="D42" s="311">
        <v>152.11049954000001</v>
      </c>
      <c r="E42" s="311">
        <v>182.49860670999999</v>
      </c>
      <c r="F42" s="302">
        <f t="shared" si="3"/>
        <v>0.19977652602481211</v>
      </c>
      <c r="G42" s="311">
        <v>177.52433586000001</v>
      </c>
      <c r="H42" s="311">
        <v>182.49860670999999</v>
      </c>
      <c r="I42" s="302">
        <f t="shared" si="4"/>
        <v>2.8020219458377849E-2</v>
      </c>
      <c r="J42" s="311">
        <v>158.76296615000001</v>
      </c>
      <c r="K42" s="311">
        <v>168.48123530999999</v>
      </c>
      <c r="L42" s="311">
        <v>178.55615667000001</v>
      </c>
      <c r="M42" s="312">
        <v>200.20330257000001</v>
      </c>
      <c r="N42" t="str">
        <f t="shared" si="5"/>
        <v>ChileManufacture of other transport equipment (C30)</v>
      </c>
      <c r="O42" s="11">
        <f>INDEX('Base de dados IHS'!$A$1:$V$676,MATCH($N42,'Base de dados IHS'!$C$1:$C$676,0),MATCH($O$1,'Base de dados IHS'!$A$1:$V$1,0))</f>
        <v>257576.69277617999</v>
      </c>
      <c r="P42" s="11">
        <f>INDEX('Base de dados IHS'!$A$1:$V$676,MATCH($N42,'Base de dados IHS'!$C$1:$C$676,0),MATCH($P$1,'Base de dados IHS'!$A$1:$V$1,0))</f>
        <v>291863.26262717001</v>
      </c>
      <c r="Q42" s="131">
        <f>INDEX('Base de dados IHS'!$A$1:$V$676,MATCH($N42,'Base de dados IHS'!$C$1:$C$676,0),MATCH($Q$1,'Base de dados IHS'!$A$1:$V$1,0))</f>
        <v>6.8920962508925031E-4</v>
      </c>
      <c r="R42" s="131">
        <f>INDEX('Base de dados IHS'!$A$1:$V$676,MATCH($N42,'Base de dados IHS'!$C$1:$C$676,0),MATCH($R$1,'Base de dados IHS'!$A$1:$V$1,0))</f>
        <v>6.2528803751202538E-4</v>
      </c>
      <c r="S42" s="131">
        <f>INDEX('Base de dados IHS'!$A$1:$V$676,MATCH($N42,'Base de dados IHS'!$C$1:$C$676,0),MATCH($S$1,'Base de dados IHS'!$A$1:$V$1,0))</f>
        <v>-6.3921587577224926E-5</v>
      </c>
      <c r="T42" t="str">
        <f>IF(Q42&lt;'Cenario A ranking setor PIB'!$G$114,"N","Y")</f>
        <v>N</v>
      </c>
    </row>
    <row r="43" spans="1:20" hidden="1" x14ac:dyDescent="0.45">
      <c r="A43" s="293" t="s">
        <v>127</v>
      </c>
      <c r="B43" s="297" t="s">
        <v>8</v>
      </c>
      <c r="C43" s="297" t="s">
        <v>958</v>
      </c>
      <c r="D43" s="311">
        <v>596.05121741999994</v>
      </c>
      <c r="E43" s="311">
        <v>142.59000391999999</v>
      </c>
      <c r="F43" s="302">
        <f t="shared" si="3"/>
        <v>-0.76077558479420782</v>
      </c>
      <c r="G43" s="311">
        <v>113.13656174</v>
      </c>
      <c r="H43" s="311">
        <v>142.59000391999999</v>
      </c>
      <c r="I43" s="302">
        <f t="shared" si="4"/>
        <v>0.26033531271426802</v>
      </c>
      <c r="J43" s="311">
        <v>161.79082817</v>
      </c>
      <c r="K43" s="311">
        <v>167.96941122000001</v>
      </c>
      <c r="L43" s="311">
        <v>171.42628721</v>
      </c>
      <c r="M43" s="312">
        <v>179.71706763</v>
      </c>
      <c r="N43" t="str">
        <f t="shared" si="5"/>
        <v>IrelandManufacture of other transport equipment (C30)</v>
      </c>
      <c r="O43" s="11">
        <f>INDEX('Base de dados IHS'!$A$1:$V$676,MATCH($N43,'Base de dados IHS'!$C$1:$C$676,0),MATCH($O$1,'Base de dados IHS'!$A$1:$V$1,0))</f>
        <v>308812.05776281998</v>
      </c>
      <c r="P43" s="11">
        <f>INDEX('Base de dados IHS'!$A$1:$V$676,MATCH($N43,'Base de dados IHS'!$C$1:$C$676,0),MATCH($P$1,'Base de dados IHS'!$A$1:$V$1,0))</f>
        <v>483748.84960921999</v>
      </c>
      <c r="Q43" s="131">
        <f>INDEX('Base de dados IHS'!$A$1:$V$676,MATCH($N43,'Base de dados IHS'!$C$1:$C$676,0),MATCH($Q$1,'Base de dados IHS'!$A$1:$V$1,0))</f>
        <v>3.6636057076143511E-4</v>
      </c>
      <c r="R43" s="131">
        <f>INDEX('Base de dados IHS'!$A$1:$V$676,MATCH($N43,'Base de dados IHS'!$C$1:$C$676,0),MATCH($R$1,'Base de dados IHS'!$A$1:$V$1,0))</f>
        <v>2.9476039898634687E-4</v>
      </c>
      <c r="S43" s="131">
        <f>INDEX('Base de dados IHS'!$A$1:$V$676,MATCH($N43,'Base de dados IHS'!$C$1:$C$676,0),MATCH($S$1,'Base de dados IHS'!$A$1:$V$1,0))</f>
        <v>-7.1600171775088246E-5</v>
      </c>
      <c r="T43" t="str">
        <f>IF(Q43&lt;'Cenario A ranking setor PIB'!$G$114,"N","Y")</f>
        <v>N</v>
      </c>
    </row>
    <row r="44" spans="1:20" hidden="1" x14ac:dyDescent="0.45">
      <c r="A44" s="293" t="s">
        <v>102</v>
      </c>
      <c r="B44" s="297" t="s">
        <v>8</v>
      </c>
      <c r="C44" s="297" t="s">
        <v>958</v>
      </c>
      <c r="D44" s="311">
        <v>228.15115058999999</v>
      </c>
      <c r="E44" s="311">
        <v>298.66546463999998</v>
      </c>
      <c r="F44" s="302">
        <f t="shared" si="3"/>
        <v>0.30906841305708799</v>
      </c>
      <c r="G44" s="311">
        <v>317.51632222000001</v>
      </c>
      <c r="H44" s="311">
        <v>298.66546463999998</v>
      </c>
      <c r="I44" s="302">
        <f t="shared" si="4"/>
        <v>-5.9369727666909289E-2</v>
      </c>
      <c r="J44" s="311">
        <v>338.92766716</v>
      </c>
      <c r="K44" s="311">
        <v>368.36310635000001</v>
      </c>
      <c r="L44" s="311">
        <v>391.40336072000002</v>
      </c>
      <c r="M44" s="312">
        <v>446.32192225</v>
      </c>
      <c r="N44" t="str">
        <f t="shared" si="5"/>
        <v>NigeriaManufacture of other transport equipment (C30)</v>
      </c>
      <c r="O44" s="11">
        <f>INDEX('Base de dados IHS'!$A$1:$V$676,MATCH($N44,'Base de dados IHS'!$C$1:$C$676,0),MATCH($O$1,'Base de dados IHS'!$A$1:$V$1,0))</f>
        <v>460034.71302222001</v>
      </c>
      <c r="P44" s="11">
        <f>INDEX('Base de dados IHS'!$A$1:$V$676,MATCH($N44,'Base de dados IHS'!$C$1:$C$676,0),MATCH($P$1,'Base de dados IHS'!$A$1:$V$1,0))</f>
        <v>483780.49839321</v>
      </c>
      <c r="Q44" s="131">
        <f>INDEX('Base de dados IHS'!$A$1:$V$676,MATCH($N44,'Base de dados IHS'!$C$1:$C$676,0),MATCH($Q$1,'Base de dados IHS'!$A$1:$V$1,0))</f>
        <v>6.9020078970576234E-4</v>
      </c>
      <c r="R44" s="131">
        <f>INDEX('Base de dados IHS'!$A$1:$V$676,MATCH($N44,'Base de dados IHS'!$C$1:$C$676,0),MATCH($R$1,'Base de dados IHS'!$A$1:$V$1,0))</f>
        <v>6.1735738755895218E-4</v>
      </c>
      <c r="S44" s="131">
        <f>INDEX('Base de dados IHS'!$A$1:$V$676,MATCH($N44,'Base de dados IHS'!$C$1:$C$676,0),MATCH($S$1,'Base de dados IHS'!$A$1:$V$1,0))</f>
        <v>-7.2843402146810163E-5</v>
      </c>
      <c r="T44" t="str">
        <f>IF(Q44&lt;'Cenario A ranking setor PIB'!$G$114,"N","Y")</f>
        <v>N</v>
      </c>
    </row>
    <row r="45" spans="1:20" hidden="1" x14ac:dyDescent="0.45">
      <c r="A45" s="293" t="s">
        <v>147</v>
      </c>
      <c r="B45" s="297" t="s">
        <v>8</v>
      </c>
      <c r="C45" s="297" t="s">
        <v>958</v>
      </c>
      <c r="D45" s="311">
        <v>149.32538665000001</v>
      </c>
      <c r="E45" s="311">
        <v>115.02869613999999</v>
      </c>
      <c r="F45" s="302">
        <f t="shared" si="3"/>
        <v>-0.22967756038956166</v>
      </c>
      <c r="G45" s="311">
        <v>115.68848797</v>
      </c>
      <c r="H45" s="311">
        <v>115.02869613999999</v>
      </c>
      <c r="I45" s="302">
        <f t="shared" si="4"/>
        <v>-5.703176189588488E-3</v>
      </c>
      <c r="J45" s="311">
        <v>315.87304356999999</v>
      </c>
      <c r="K45" s="311">
        <v>356.75628513999999</v>
      </c>
      <c r="L45" s="311">
        <v>391.51824341000003</v>
      </c>
      <c r="M45" s="312">
        <v>486.34640875000002</v>
      </c>
      <c r="N45" t="str">
        <f t="shared" si="5"/>
        <v>PeruManufacture of other transport equipment (C30)</v>
      </c>
      <c r="O45" s="11">
        <f>INDEX('Base de dados IHS'!$A$1:$V$676,MATCH($N45,'Base de dados IHS'!$C$1:$C$676,0),MATCH($O$1,'Base de dados IHS'!$A$1:$V$1,0))</f>
        <v>205342.67167914001</v>
      </c>
      <c r="P45" s="11">
        <f>INDEX('Base de dados IHS'!$A$1:$V$676,MATCH($N45,'Base de dados IHS'!$C$1:$C$676,0),MATCH($P$1,'Base de dados IHS'!$A$1:$V$1,0))</f>
        <v>235110.76142220001</v>
      </c>
      <c r="Q45" s="131">
        <f>INDEX('Base de dados IHS'!$A$1:$V$676,MATCH($N45,'Base de dados IHS'!$C$1:$C$676,0),MATCH($Q$1,'Base de dados IHS'!$A$1:$V$1,0))</f>
        <v>5.6339233839700911E-4</v>
      </c>
      <c r="R45" s="131">
        <f>INDEX('Base de dados IHS'!$A$1:$V$676,MATCH($N45,'Base de dados IHS'!$C$1:$C$676,0),MATCH($R$1,'Base de dados IHS'!$A$1:$V$1,0))</f>
        <v>4.8925321599140785E-4</v>
      </c>
      <c r="S45" s="131">
        <f>INDEX('Base de dados IHS'!$A$1:$V$676,MATCH($N45,'Base de dados IHS'!$C$1:$C$676,0),MATCH($S$1,'Base de dados IHS'!$A$1:$V$1,0))</f>
        <v>-7.4139122405601256E-5</v>
      </c>
      <c r="T45" t="str">
        <f>IF(Q45&lt;'Cenario A ranking setor PIB'!$G$114,"N","Y")</f>
        <v>N</v>
      </c>
    </row>
    <row r="46" spans="1:20" hidden="1" x14ac:dyDescent="0.45">
      <c r="A46" s="293" t="s">
        <v>118</v>
      </c>
      <c r="B46" s="297" t="s">
        <v>8</v>
      </c>
      <c r="C46" s="297" t="s">
        <v>958</v>
      </c>
      <c r="D46" s="311">
        <v>697.44468613000004</v>
      </c>
      <c r="E46" s="311">
        <v>1013.55962038</v>
      </c>
      <c r="F46" s="302">
        <f t="shared" si="3"/>
        <v>0.4532473191588382</v>
      </c>
      <c r="G46" s="311">
        <v>1002.65743237</v>
      </c>
      <c r="H46" s="311">
        <v>1013.55962038</v>
      </c>
      <c r="I46" s="302">
        <f t="shared" si="4"/>
        <v>1.0873292969294734E-2</v>
      </c>
      <c r="J46" s="311">
        <v>1357.41982869</v>
      </c>
      <c r="K46" s="311">
        <v>1433.7142937599999</v>
      </c>
      <c r="L46" s="311">
        <v>1496.3441089200001</v>
      </c>
      <c r="M46" s="312">
        <v>1625.1707530799999</v>
      </c>
      <c r="N46" t="str">
        <f t="shared" si="5"/>
        <v>BelgiumManufacture of other transport equipment (C30)</v>
      </c>
      <c r="O46" s="11">
        <f>INDEX('Base de dados IHS'!$A$1:$V$676,MATCH($N46,'Base de dados IHS'!$C$1:$C$676,0),MATCH($O$1,'Base de dados IHS'!$A$1:$V$1,0))</f>
        <v>500331.50984029</v>
      </c>
      <c r="P46" s="11">
        <f>INDEX('Base de dados IHS'!$A$1:$V$676,MATCH($N46,'Base de dados IHS'!$C$1:$C$676,0),MATCH($P$1,'Base de dados IHS'!$A$1:$V$1,0))</f>
        <v>542439.84157398995</v>
      </c>
      <c r="Q46" s="131">
        <f>INDEX('Base de dados IHS'!$A$1:$V$676,MATCH($N46,'Base de dados IHS'!$C$1:$C$676,0),MATCH($Q$1,'Base de dados IHS'!$A$1:$V$1,0))</f>
        <v>2.0039861824614176E-3</v>
      </c>
      <c r="R46" s="131">
        <f>INDEX('Base de dados IHS'!$A$1:$V$676,MATCH($N46,'Base de dados IHS'!$C$1:$C$676,0),MATCH($R$1,'Base de dados IHS'!$A$1:$V$1,0))</f>
        <v>1.8685198665329753E-3</v>
      </c>
      <c r="S46" s="131">
        <f>INDEX('Base de dados IHS'!$A$1:$V$676,MATCH($N46,'Base de dados IHS'!$C$1:$C$676,0),MATCH($S$1,'Base de dados IHS'!$A$1:$V$1,0))</f>
        <v>-1.3546631592844236E-4</v>
      </c>
      <c r="T46" t="str">
        <f>IF(Q46&lt;'Cenario A ranking setor PIB'!$G$114,"N","Y")</f>
        <v>N</v>
      </c>
    </row>
    <row r="47" spans="1:20" hidden="1" x14ac:dyDescent="0.45">
      <c r="A47" s="293" t="s">
        <v>148</v>
      </c>
      <c r="B47" s="297" t="s">
        <v>8</v>
      </c>
      <c r="C47" s="297" t="s">
        <v>958</v>
      </c>
      <c r="D47" s="311">
        <v>33.64978292</v>
      </c>
      <c r="E47" s="311">
        <v>34.036753640000001</v>
      </c>
      <c r="F47" s="302">
        <f t="shared" si="3"/>
        <v>1.1499946995794819E-2</v>
      </c>
      <c r="G47" s="311">
        <v>35.691915469999998</v>
      </c>
      <c r="H47" s="311">
        <v>34.036753640000001</v>
      </c>
      <c r="I47" s="302">
        <f t="shared" si="4"/>
        <v>-4.637357811158116E-2</v>
      </c>
      <c r="J47" s="311">
        <v>36.145625639999999</v>
      </c>
      <c r="K47" s="311">
        <v>37.643151439999997</v>
      </c>
      <c r="L47" s="311">
        <v>38.956125659999998</v>
      </c>
      <c r="M47" s="312">
        <v>41.81479873</v>
      </c>
      <c r="N47" t="str">
        <f t="shared" si="5"/>
        <v>BahrainManufacture of other transport equipment (C30)</v>
      </c>
      <c r="O47" s="11">
        <f>INDEX('Base de dados IHS'!$A$1:$V$676,MATCH($N47,'Base de dados IHS'!$C$1:$C$676,0),MATCH($O$1,'Base de dados IHS'!$A$1:$V$1,0))</f>
        <v>33332.328188890002</v>
      </c>
      <c r="P47" s="11">
        <f>INDEX('Base de dados IHS'!$A$1:$V$676,MATCH($N47,'Base de dados IHS'!$C$1:$C$676,0),MATCH($P$1,'Base de dados IHS'!$A$1:$V$1,0))</f>
        <v>36767.801730239997</v>
      </c>
      <c r="Q47" s="131">
        <f>INDEX('Base de dados IHS'!$A$1:$V$676,MATCH($N47,'Base de dados IHS'!$C$1:$C$676,0),MATCH($Q$1,'Base de dados IHS'!$A$1:$V$1,0))</f>
        <v>1.0707897530511075E-3</v>
      </c>
      <c r="R47" s="131">
        <f>INDEX('Base de dados IHS'!$A$1:$V$676,MATCH($N47,'Base de dados IHS'!$C$1:$C$676,0),MATCH($R$1,'Base de dados IHS'!$A$1:$V$1,0))</f>
        <v>9.2572174669899225E-4</v>
      </c>
      <c r="S47" s="131">
        <f>INDEX('Base de dados IHS'!$A$1:$V$676,MATCH($N47,'Base de dados IHS'!$C$1:$C$676,0),MATCH($S$1,'Base de dados IHS'!$A$1:$V$1,0))</f>
        <v>-1.4506800635211527E-4</v>
      </c>
      <c r="T47" t="str">
        <f>IF(Q47&lt;'Cenario A ranking setor PIB'!$G$114,"N","Y")</f>
        <v>N</v>
      </c>
    </row>
    <row r="48" spans="1:20" hidden="1" x14ac:dyDescent="0.45">
      <c r="A48" s="293" t="s">
        <v>156</v>
      </c>
      <c r="B48" s="297" t="s">
        <v>8</v>
      </c>
      <c r="C48" s="297" t="s">
        <v>958</v>
      </c>
      <c r="D48" s="311">
        <v>194.24695892</v>
      </c>
      <c r="E48" s="311">
        <v>340.05192617</v>
      </c>
      <c r="F48" s="302">
        <f t="shared" si="3"/>
        <v>0.75061647328053827</v>
      </c>
      <c r="G48" s="311">
        <v>361.92746771999998</v>
      </c>
      <c r="H48" s="311">
        <v>340.05192617</v>
      </c>
      <c r="I48" s="302">
        <f t="shared" si="4"/>
        <v>-6.0441783232997648E-2</v>
      </c>
      <c r="J48" s="311">
        <v>434.63115749000002</v>
      </c>
      <c r="K48" s="311">
        <v>470.27962097</v>
      </c>
      <c r="L48" s="311">
        <v>494.42123086999999</v>
      </c>
      <c r="M48" s="312">
        <v>549.91964685999994</v>
      </c>
      <c r="N48" t="str">
        <f t="shared" si="5"/>
        <v>GreeceManufacture of other transport equipment (C30)</v>
      </c>
      <c r="O48" s="11">
        <f>INDEX('Base de dados IHS'!$A$1:$V$676,MATCH($N48,'Base de dados IHS'!$C$1:$C$676,0),MATCH($O$1,'Base de dados IHS'!$A$1:$V$1,0))</f>
        <v>196841.83448053</v>
      </c>
      <c r="P48" s="11">
        <f>INDEX('Base de dados IHS'!$A$1:$V$676,MATCH($N48,'Base de dados IHS'!$C$1:$C$676,0),MATCH($P$1,'Base de dados IHS'!$A$1:$V$1,0))</f>
        <v>201121.93838619001</v>
      </c>
      <c r="Q48" s="131">
        <f>INDEX('Base de dados IHS'!$A$1:$V$676,MATCH($N48,'Base de dados IHS'!$C$1:$C$676,0),MATCH($Q$1,'Base de dados IHS'!$A$1:$V$1,0))</f>
        <v>1.8386714829961561E-3</v>
      </c>
      <c r="R48" s="131">
        <f>INDEX('Base de dados IHS'!$A$1:$V$676,MATCH($N48,'Base de dados IHS'!$C$1:$C$676,0),MATCH($R$1,'Base de dados IHS'!$A$1:$V$1,0))</f>
        <v>1.6907749045111111E-3</v>
      </c>
      <c r="S48" s="131">
        <f>INDEX('Base de dados IHS'!$A$1:$V$676,MATCH($N48,'Base de dados IHS'!$C$1:$C$676,0),MATCH($S$1,'Base de dados IHS'!$A$1:$V$1,0))</f>
        <v>-1.4789657848504503E-4</v>
      </c>
      <c r="T48" t="str">
        <f>IF(Q48&lt;'Cenario A ranking setor PIB'!$G$114,"N","Y")</f>
        <v>N</v>
      </c>
    </row>
    <row r="49" spans="1:20" x14ac:dyDescent="0.45">
      <c r="A49" s="293" t="s">
        <v>123</v>
      </c>
      <c r="B49" s="297" t="s">
        <v>8</v>
      </c>
      <c r="C49" s="297" t="s">
        <v>958</v>
      </c>
      <c r="D49" s="311">
        <v>1131.6034303399999</v>
      </c>
      <c r="E49" s="311">
        <v>1755.56013418</v>
      </c>
      <c r="F49" s="302">
        <f t="shared" si="3"/>
        <v>0.55139166876909074</v>
      </c>
      <c r="G49" s="311">
        <v>1441.6044825399999</v>
      </c>
      <c r="H49" s="311">
        <v>1755.56013418</v>
      </c>
      <c r="I49" s="302">
        <f t="shared" si="4"/>
        <v>0.21778210004371901</v>
      </c>
      <c r="J49" s="311">
        <v>2261.80051675</v>
      </c>
      <c r="K49" s="311">
        <v>2593.1868566399999</v>
      </c>
      <c r="L49" s="311">
        <v>2853.0453212500001</v>
      </c>
      <c r="M49" s="312">
        <v>3540.6302397600002</v>
      </c>
      <c r="N49" t="str">
        <f t="shared" si="5"/>
        <v>IsraelManufacture of other transport equipment (C30)</v>
      </c>
      <c r="O49" s="11">
        <f>INDEX('Base de dados IHS'!$A$1:$V$676,MATCH($N49,'Base de dados IHS'!$C$1:$C$676,0),MATCH($O$1,'Base de dados IHS'!$A$1:$V$1,0))</f>
        <v>339252.33917334001</v>
      </c>
      <c r="P49" s="11">
        <f>INDEX('Base de dados IHS'!$A$1:$V$676,MATCH($N49,'Base de dados IHS'!$C$1:$C$676,0),MATCH($P$1,'Base de dados IHS'!$A$1:$V$1,0))</f>
        <v>430314.68651226</v>
      </c>
      <c r="Q49" s="131">
        <f>INDEX('Base de dados IHS'!$A$1:$V$676,MATCH($N49,'Base de dados IHS'!$C$1:$C$676,0),MATCH($Q$1,'Base de dados IHS'!$A$1:$V$1,0))</f>
        <v>4.249357531484599E-3</v>
      </c>
      <c r="R49" s="131">
        <f>INDEX('Base de dados IHS'!$A$1:$V$676,MATCH($N49,'Base de dados IHS'!$C$1:$C$676,0),MATCH($R$1,'Base de dados IHS'!$A$1:$V$1,0))</f>
        <v>4.0797123342662918E-3</v>
      </c>
      <c r="S49" s="131">
        <f>INDEX('Base de dados IHS'!$A$1:$V$676,MATCH($N49,'Base de dados IHS'!$C$1:$C$676,0),MATCH($S$1,'Base de dados IHS'!$A$1:$V$1,0))</f>
        <v>-1.6964519721830718E-4</v>
      </c>
      <c r="T49" t="str">
        <f>IF(Q49&lt;'Cenario A ranking setor PIB'!$G$114,"N","Y")</f>
        <v>Y</v>
      </c>
    </row>
    <row r="50" spans="1:20" hidden="1" x14ac:dyDescent="0.45">
      <c r="A50" s="293" t="s">
        <v>154</v>
      </c>
      <c r="B50" s="297" t="s">
        <v>8</v>
      </c>
      <c r="C50" s="297" t="s">
        <v>958</v>
      </c>
      <c r="D50" s="311">
        <v>260.92677173999999</v>
      </c>
      <c r="E50" s="311">
        <v>255.47177551999999</v>
      </c>
      <c r="F50" s="302">
        <f t="shared" si="3"/>
        <v>-2.0906234280304581E-2</v>
      </c>
      <c r="G50" s="311">
        <v>245.5836027</v>
      </c>
      <c r="H50" s="311">
        <v>255.47177551999999</v>
      </c>
      <c r="I50" s="302">
        <f t="shared" si="4"/>
        <v>4.0263978178051163E-2</v>
      </c>
      <c r="J50" s="311">
        <v>336.10392585</v>
      </c>
      <c r="K50" s="311">
        <v>424.40675199999998</v>
      </c>
      <c r="L50" s="311">
        <v>487.91190768000001</v>
      </c>
      <c r="M50" s="312">
        <v>660.78968560999999</v>
      </c>
      <c r="N50" t="str">
        <f t="shared" si="5"/>
        <v>PakistanManufacture of other transport equipment (C30)</v>
      </c>
      <c r="O50" s="11">
        <f>INDEX('Base de dados IHS'!$A$1:$V$676,MATCH($N50,'Base de dados IHS'!$C$1:$C$676,0),MATCH($O$1,'Base de dados IHS'!$A$1:$V$1,0))</f>
        <v>243681.57424943999</v>
      </c>
      <c r="P50" s="11">
        <f>INDEX('Base de dados IHS'!$A$1:$V$676,MATCH($N50,'Base de dados IHS'!$C$1:$C$676,0),MATCH($P$1,'Base de dados IHS'!$A$1:$V$1,0))</f>
        <v>307178.14587732003</v>
      </c>
      <c r="Q50" s="131">
        <f>INDEX('Base de dados IHS'!$A$1:$V$676,MATCH($N50,'Base de dados IHS'!$C$1:$C$676,0),MATCH($Q$1,'Base de dados IHS'!$A$1:$V$1,0))</f>
        <v>1.0078053847789618E-3</v>
      </c>
      <c r="R50" s="131">
        <f>INDEX('Base de dados IHS'!$A$1:$V$676,MATCH($N50,'Base de dados IHS'!$C$1:$C$676,0),MATCH($R$1,'Base de dados IHS'!$A$1:$V$1,0))</f>
        <v>8.3167301759165383E-4</v>
      </c>
      <c r="S50" s="131">
        <f>INDEX('Base de dados IHS'!$A$1:$V$676,MATCH($N50,'Base de dados IHS'!$C$1:$C$676,0),MATCH($S$1,'Base de dados IHS'!$A$1:$V$1,0))</f>
        <v>-1.7613236718730797E-4</v>
      </c>
      <c r="T50" t="str">
        <f>IF(Q50&lt;'Cenario A ranking setor PIB'!$G$114,"N","Y")</f>
        <v>N</v>
      </c>
    </row>
    <row r="51" spans="1:20" hidden="1" x14ac:dyDescent="0.45">
      <c r="A51" s="293" t="s">
        <v>75</v>
      </c>
      <c r="B51" s="297" t="s">
        <v>8</v>
      </c>
      <c r="C51" s="297" t="s">
        <v>958</v>
      </c>
      <c r="D51" s="311">
        <v>1073.84994413</v>
      </c>
      <c r="E51" s="311">
        <v>2539.4979664100001</v>
      </c>
      <c r="F51" s="302">
        <f t="shared" si="3"/>
        <v>1.3648536560361073</v>
      </c>
      <c r="G51" s="311">
        <v>2737.4675034400002</v>
      </c>
      <c r="H51" s="311">
        <v>2539.4979664100001</v>
      </c>
      <c r="I51" s="302">
        <f t="shared" si="4"/>
        <v>-7.231849758261033E-2</v>
      </c>
      <c r="J51" s="311">
        <v>3910.5496305800002</v>
      </c>
      <c r="K51" s="311">
        <v>4413.60248477</v>
      </c>
      <c r="L51" s="311">
        <v>4740.1780010399998</v>
      </c>
      <c r="M51" s="312">
        <v>5623.9124990999999</v>
      </c>
      <c r="N51" t="str">
        <f t="shared" si="5"/>
        <v>MexicoManufacture of other transport equipment (C30)</v>
      </c>
      <c r="O51" s="11">
        <f>INDEX('Base de dados IHS'!$A$1:$V$676,MATCH($N51,'Base de dados IHS'!$C$1:$C$676,0),MATCH($O$1,'Base de dados IHS'!$A$1:$V$1,0))</f>
        <v>1239119.2771185001</v>
      </c>
      <c r="P51" s="11">
        <f>INDEX('Base de dados IHS'!$A$1:$V$676,MATCH($N51,'Base de dados IHS'!$C$1:$C$676,0),MATCH($P$1,'Base de dados IHS'!$A$1:$V$1,0))</f>
        <v>1262038.2891611001</v>
      </c>
      <c r="Q51" s="131">
        <f>INDEX('Base de dados IHS'!$A$1:$V$676,MATCH($N51,'Base de dados IHS'!$C$1:$C$676,0),MATCH($Q$1,'Base de dados IHS'!$A$1:$V$1,0))</f>
        <v>2.2092041936477833E-3</v>
      </c>
      <c r="R51" s="131">
        <f>INDEX('Base de dados IHS'!$A$1:$V$676,MATCH($N51,'Base de dados IHS'!$C$1:$C$676,0),MATCH($R$1,'Base de dados IHS'!$A$1:$V$1,0))</f>
        <v>2.0122194296482484E-3</v>
      </c>
      <c r="S51" s="131">
        <f>INDEX('Base de dados IHS'!$A$1:$V$676,MATCH($N51,'Base de dados IHS'!$C$1:$C$676,0),MATCH($S$1,'Base de dados IHS'!$A$1:$V$1,0))</f>
        <v>-1.9698476399953495E-4</v>
      </c>
      <c r="T51" t="str">
        <f>IF(Q51&lt;'Cenario A ranking setor PIB'!$G$114,"N","Y")</f>
        <v>N</v>
      </c>
    </row>
    <row r="52" spans="1:20" hidden="1" x14ac:dyDescent="0.45">
      <c r="A52" s="293" t="s">
        <v>107</v>
      </c>
      <c r="B52" s="297" t="s">
        <v>8</v>
      </c>
      <c r="C52" s="297" t="s">
        <v>958</v>
      </c>
      <c r="D52" s="311">
        <v>391.82191438000001</v>
      </c>
      <c r="E52" s="311">
        <v>272.42702824999998</v>
      </c>
      <c r="F52" s="302">
        <f t="shared" si="3"/>
        <v>-0.30471722419845937</v>
      </c>
      <c r="G52" s="311">
        <v>278.23585622000002</v>
      </c>
      <c r="H52" s="311">
        <v>272.42702824999998</v>
      </c>
      <c r="I52" s="302">
        <f t="shared" si="4"/>
        <v>-2.0877352218065748E-2</v>
      </c>
      <c r="J52" s="311">
        <v>322.80926782</v>
      </c>
      <c r="K52" s="311">
        <v>343.05308126</v>
      </c>
      <c r="L52" s="311">
        <v>347.83911554000002</v>
      </c>
      <c r="M52" s="312">
        <v>365.61367144000002</v>
      </c>
      <c r="N52" t="str">
        <f t="shared" si="5"/>
        <v>IranManufacture of other transport equipment (C30)</v>
      </c>
      <c r="O52" s="11">
        <f>INDEX('Base de dados IHS'!$A$1:$V$676,MATCH($N52,'Base de dados IHS'!$C$1:$C$676,0),MATCH($O$1,'Base de dados IHS'!$A$1:$V$1,0))</f>
        <v>195024.47923529</v>
      </c>
      <c r="P52" s="11">
        <f>INDEX('Base de dados IHS'!$A$1:$V$676,MATCH($N52,'Base de dados IHS'!$C$1:$C$676,0),MATCH($P$1,'Base de dados IHS'!$A$1:$V$1,0))</f>
        <v>224406.94908081999</v>
      </c>
      <c r="Q52" s="131">
        <f>INDEX('Base de dados IHS'!$A$1:$V$676,MATCH($N52,'Base de dados IHS'!$C$1:$C$676,0),MATCH($Q$1,'Base de dados IHS'!$A$1:$V$1,0))</f>
        <v>1.4266714481740443E-3</v>
      </c>
      <c r="R52" s="131">
        <f>INDEX('Base de dados IHS'!$A$1:$V$676,MATCH($N52,'Base de dados IHS'!$C$1:$C$676,0),MATCH($R$1,'Base de dados IHS'!$A$1:$V$1,0))</f>
        <v>1.2139865960741063E-3</v>
      </c>
      <c r="S52" s="131">
        <f>INDEX('Base de dados IHS'!$A$1:$V$676,MATCH($N52,'Base de dados IHS'!$C$1:$C$676,0),MATCH($S$1,'Base de dados IHS'!$A$1:$V$1,0))</f>
        <v>-2.1268485209993801E-4</v>
      </c>
      <c r="T52" t="str">
        <f>IF(Q52&lt;'Cenario A ranking setor PIB'!$G$114,"N","Y")</f>
        <v>N</v>
      </c>
    </row>
    <row r="53" spans="1:20" hidden="1" x14ac:dyDescent="0.45">
      <c r="A53" s="293" t="s">
        <v>66</v>
      </c>
      <c r="B53" s="297" t="s">
        <v>8</v>
      </c>
      <c r="C53" s="297" t="s">
        <v>958</v>
      </c>
      <c r="D53" s="311">
        <v>2137.9989260000002</v>
      </c>
      <c r="E53" s="311">
        <v>1672.4599940099999</v>
      </c>
      <c r="F53" s="302">
        <f t="shared" si="3"/>
        <v>-0.21774516643980779</v>
      </c>
      <c r="G53" s="311">
        <v>1745.95136166</v>
      </c>
      <c r="H53" s="311">
        <v>1672.4599940099999</v>
      </c>
      <c r="I53" s="302">
        <f t="shared" si="4"/>
        <v>-4.2092448428876383E-2</v>
      </c>
      <c r="J53" s="311">
        <v>1798.1344822200001</v>
      </c>
      <c r="K53" s="311">
        <v>1877.3838219500001</v>
      </c>
      <c r="L53" s="311">
        <v>1918.5094716599999</v>
      </c>
      <c r="M53" s="312">
        <v>1993.5357824299999</v>
      </c>
      <c r="N53" t="str">
        <f t="shared" si="5"/>
        <v>NetherlandsManufacture of other transport equipment (C30)</v>
      </c>
      <c r="O53" s="11">
        <f>INDEX('Base de dados IHS'!$A$1:$V$676,MATCH($N53,'Base de dados IHS'!$C$1:$C$676,0),MATCH($O$1,'Base de dados IHS'!$A$1:$V$1,0))</f>
        <v>829203.89806390996</v>
      </c>
      <c r="P53" s="11">
        <f>INDEX('Base de dados IHS'!$A$1:$V$676,MATCH($N53,'Base de dados IHS'!$C$1:$C$676,0),MATCH($P$1,'Base de dados IHS'!$A$1:$V$1,0))</f>
        <v>928325.09368340997</v>
      </c>
      <c r="Q53" s="131">
        <f>INDEX('Base de dados IHS'!$A$1:$V$676,MATCH($N53,'Base de dados IHS'!$C$1:$C$676,0),MATCH($Q$1,'Base de dados IHS'!$A$1:$V$1,0))</f>
        <v>2.1055754389681281E-3</v>
      </c>
      <c r="R53" s="131">
        <f>INDEX('Base de dados IHS'!$A$1:$V$676,MATCH($N53,'Base de dados IHS'!$C$1:$C$676,0),MATCH($R$1,'Base de dados IHS'!$A$1:$V$1,0))</f>
        <v>1.801588694940918E-3</v>
      </c>
      <c r="S53" s="131">
        <f>INDEX('Base de dados IHS'!$A$1:$V$676,MATCH($N53,'Base de dados IHS'!$C$1:$C$676,0),MATCH($S$1,'Base de dados IHS'!$A$1:$V$1,0))</f>
        <v>-3.0398674402721008E-4</v>
      </c>
      <c r="T53" t="str">
        <f>IF(Q53&lt;'Cenario A ranking setor PIB'!$G$114,"N","Y")</f>
        <v>N</v>
      </c>
    </row>
    <row r="54" spans="1:20" x14ac:dyDescent="0.45">
      <c r="A54" s="293" t="s">
        <v>907</v>
      </c>
      <c r="B54" s="297" t="s">
        <v>8</v>
      </c>
      <c r="C54" s="297" t="s">
        <v>958</v>
      </c>
      <c r="D54" s="311">
        <v>53551.071916350003</v>
      </c>
      <c r="E54" s="311">
        <v>95143.074655279997</v>
      </c>
      <c r="F54" s="302">
        <f t="shared" si="3"/>
        <v>0.7766791821440886</v>
      </c>
      <c r="G54" s="311">
        <v>69909.998790740006</v>
      </c>
      <c r="H54" s="311">
        <v>95143.074655279997</v>
      </c>
      <c r="I54" s="302">
        <f t="shared" si="4"/>
        <v>0.36093657990282013</v>
      </c>
      <c r="J54" s="311">
        <v>118545.40285730999</v>
      </c>
      <c r="K54" s="311">
        <v>141373.82842121</v>
      </c>
      <c r="L54" s="311">
        <v>158229.55826414999</v>
      </c>
      <c r="M54" s="312">
        <v>198932.86035187001</v>
      </c>
      <c r="N54" t="str">
        <f t="shared" si="5"/>
        <v>ChinaManufacture of other transport equipment (C30)</v>
      </c>
      <c r="O54" s="11">
        <f>INDEX('Base de dados IHS'!$A$1:$V$676,MATCH($N54,'Base de dados IHS'!$C$1:$C$676,0),MATCH($O$1,'Base de dados IHS'!$A$1:$V$1,0))</f>
        <v>11048064.947659001</v>
      </c>
      <c r="P54" s="11">
        <f>INDEX('Base de dados IHS'!$A$1:$V$676,MATCH($N54,'Base de dados IHS'!$C$1:$C$676,0),MATCH($P$1,'Base de dados IHS'!$A$1:$V$1,0))</f>
        <v>15827750.501527</v>
      </c>
      <c r="Q54" s="131">
        <f>INDEX('Base de dados IHS'!$A$1:$V$676,MATCH($N54,'Base de dados IHS'!$C$1:$C$676,0),MATCH($Q$1,'Base de dados IHS'!$A$1:$V$1,0))</f>
        <v>6.3278048347781835E-3</v>
      </c>
      <c r="R54" s="131">
        <f>INDEX('Base de dados IHS'!$A$1:$V$676,MATCH($N54,'Base de dados IHS'!$C$1:$C$676,0),MATCH($R$1,'Base de dados IHS'!$A$1:$V$1,0))</f>
        <v>6.0111558269825491E-3</v>
      </c>
      <c r="S54" s="131">
        <f>INDEX('Base de dados IHS'!$A$1:$V$676,MATCH($N54,'Base de dados IHS'!$C$1:$C$676,0),MATCH($S$1,'Base de dados IHS'!$A$1:$V$1,0))</f>
        <v>-3.1664900779563437E-4</v>
      </c>
      <c r="T54" t="str">
        <f>IF(Q54&lt;'Cenario A ranking setor PIB'!$G$114,"N","Y")</f>
        <v>Y</v>
      </c>
    </row>
    <row r="55" spans="1:20" x14ac:dyDescent="0.45">
      <c r="A55" s="293" t="s">
        <v>149</v>
      </c>
      <c r="B55" s="297" t="s">
        <v>8</v>
      </c>
      <c r="C55" s="297" t="s">
        <v>958</v>
      </c>
      <c r="D55" s="311">
        <v>1423.6762771900001</v>
      </c>
      <c r="E55" s="311">
        <v>845.59824615000002</v>
      </c>
      <c r="F55" s="302">
        <f t="shared" si="3"/>
        <v>-0.40604598131043468</v>
      </c>
      <c r="G55" s="311">
        <v>805.71669751000002</v>
      </c>
      <c r="H55" s="311">
        <v>845.59824615000002</v>
      </c>
      <c r="I55" s="302">
        <f t="shared" si="4"/>
        <v>4.9498227805444106E-2</v>
      </c>
      <c r="J55" s="311">
        <v>703.75943772999995</v>
      </c>
      <c r="K55" s="311">
        <v>864.98358827000004</v>
      </c>
      <c r="L55" s="311">
        <v>1096.17528614</v>
      </c>
      <c r="M55" s="312">
        <v>1812.6385553600001</v>
      </c>
      <c r="N55" t="str">
        <f t="shared" si="5"/>
        <v>UkraineManufacture of other transport equipment (C30)</v>
      </c>
      <c r="O55" s="11">
        <f>INDEX('Base de dados IHS'!$A$1:$V$676,MATCH($N55,'Base de dados IHS'!$C$1:$C$676,0),MATCH($O$1,'Base de dados IHS'!$A$1:$V$1,0))</f>
        <v>137743.94890503999</v>
      </c>
      <c r="P55" s="11">
        <f>INDEX('Base de dados IHS'!$A$1:$V$676,MATCH($N55,'Base de dados IHS'!$C$1:$C$676,0),MATCH($P$1,'Base de dados IHS'!$A$1:$V$1,0))</f>
        <v>153275.23415388001</v>
      </c>
      <c r="Q55" s="131">
        <f>INDEX('Base de dados IHS'!$A$1:$V$676,MATCH($N55,'Base de dados IHS'!$C$1:$C$676,0),MATCH($Q$1,'Base de dados IHS'!$A$1:$V$1,0))</f>
        <v>5.8493799830398154E-3</v>
      </c>
      <c r="R55" s="131">
        <f>INDEX('Base de dados IHS'!$A$1:$V$676,MATCH($N55,'Base de dados IHS'!$C$1:$C$676,0),MATCH($R$1,'Base de dados IHS'!$A$1:$V$1,0))</f>
        <v>5.5168615518216418E-3</v>
      </c>
      <c r="S55" s="131">
        <f>INDEX('Base de dados IHS'!$A$1:$V$676,MATCH($N55,'Base de dados IHS'!$C$1:$C$676,0),MATCH($S$1,'Base de dados IHS'!$A$1:$V$1,0))</f>
        <v>-3.3251843121817354E-4</v>
      </c>
      <c r="T55" t="str">
        <f>IF(Q55&lt;'Cenario A ranking setor PIB'!$G$114,"N","Y")</f>
        <v>Y</v>
      </c>
    </row>
    <row r="56" spans="1:20" hidden="1" x14ac:dyDescent="0.45">
      <c r="A56" s="293" t="s">
        <v>145</v>
      </c>
      <c r="B56" s="297" t="s">
        <v>8</v>
      </c>
      <c r="C56" s="297" t="s">
        <v>958</v>
      </c>
      <c r="D56" s="311">
        <v>455.20920690999998</v>
      </c>
      <c r="E56" s="311">
        <v>319.95871976000001</v>
      </c>
      <c r="F56" s="302">
        <f t="shared" si="3"/>
        <v>-0.29711720478610737</v>
      </c>
      <c r="G56" s="311">
        <v>445.12802356999998</v>
      </c>
      <c r="H56" s="311">
        <v>319.95871976000001</v>
      </c>
      <c r="I56" s="302">
        <f t="shared" si="4"/>
        <v>-0.28119843546609702</v>
      </c>
      <c r="J56" s="311">
        <v>345.50353440999999</v>
      </c>
      <c r="K56" s="311">
        <v>356.20589004999999</v>
      </c>
      <c r="L56" s="311">
        <v>367.60741121000001</v>
      </c>
      <c r="M56" s="312">
        <v>394.91797604999999</v>
      </c>
      <c r="N56" t="str">
        <f t="shared" si="5"/>
        <v>South AfricaManufacture of other transport equipment (C30)</v>
      </c>
      <c r="O56" s="11">
        <f>INDEX('Base de dados IHS'!$A$1:$V$676,MATCH($N56,'Base de dados IHS'!$C$1:$C$676,0),MATCH($O$1,'Base de dados IHS'!$A$1:$V$1,0))</f>
        <v>375376.48654821003</v>
      </c>
      <c r="P56" s="11">
        <f>INDEX('Base de dados IHS'!$A$1:$V$676,MATCH($N56,'Base de dados IHS'!$C$1:$C$676,0),MATCH($P$1,'Base de dados IHS'!$A$1:$V$1,0))</f>
        <v>383209.69906191999</v>
      </c>
      <c r="Q56" s="131">
        <f>INDEX('Base de dados IHS'!$A$1:$V$676,MATCH($N56,'Base de dados IHS'!$C$1:$C$676,0),MATCH($Q$1,'Base de dados IHS'!$A$1:$V$1,0))</f>
        <v>1.1858175445755622E-3</v>
      </c>
      <c r="R56" s="131">
        <f>INDEX('Base de dados IHS'!$A$1:$V$676,MATCH($N56,'Base de dados IHS'!$C$1:$C$676,0),MATCH($R$1,'Base de dados IHS'!$A$1:$V$1,0))</f>
        <v>8.3494421081523897E-4</v>
      </c>
      <c r="S56" s="131">
        <f>INDEX('Base de dados IHS'!$A$1:$V$676,MATCH($N56,'Base de dados IHS'!$C$1:$C$676,0),MATCH($S$1,'Base de dados IHS'!$A$1:$V$1,0))</f>
        <v>-3.5087333376032323E-4</v>
      </c>
      <c r="T56" t="str">
        <f>IF(Q56&lt;'Cenario A ranking setor PIB'!$G$114,"N","Y")</f>
        <v>N</v>
      </c>
    </row>
    <row r="57" spans="1:20" x14ac:dyDescent="0.45">
      <c r="A57" s="293" t="s">
        <v>121</v>
      </c>
      <c r="B57" s="297" t="s">
        <v>8</v>
      </c>
      <c r="C57" s="297" t="s">
        <v>958</v>
      </c>
      <c r="D57" s="311">
        <v>4738.9106801799999</v>
      </c>
      <c r="E57" s="311">
        <v>5025.1771154999997</v>
      </c>
      <c r="F57" s="302">
        <f t="shared" si="3"/>
        <v>6.0407645266934207E-2</v>
      </c>
      <c r="G57" s="311">
        <v>4351.8466226600003</v>
      </c>
      <c r="H57" s="311">
        <v>5025.1771154999997</v>
      </c>
      <c r="I57" s="302">
        <f t="shared" si="4"/>
        <v>0.15472293746153132</v>
      </c>
      <c r="J57" s="311">
        <v>8315.5800209699992</v>
      </c>
      <c r="K57" s="311">
        <v>9114.0664508900009</v>
      </c>
      <c r="L57" s="311">
        <v>9665.8055665699994</v>
      </c>
      <c r="M57" s="312">
        <v>11269.768056659999</v>
      </c>
      <c r="N57" t="str">
        <f t="shared" si="5"/>
        <v>SingaporeManufacture of other transport equipment (C30)</v>
      </c>
      <c r="O57" s="11">
        <f>INDEX('Base de dados IHS'!$A$1:$V$676,MATCH($N57,'Base de dados IHS'!$C$1:$C$676,0),MATCH($O$1,'Base de dados IHS'!$A$1:$V$1,0))</f>
        <v>331298.98374970001</v>
      </c>
      <c r="P57" s="11">
        <f>INDEX('Base de dados IHS'!$A$1:$V$676,MATCH($N57,'Base de dados IHS'!$C$1:$C$676,0),MATCH($P$1,'Base de dados IHS'!$A$1:$V$1,0))</f>
        <v>394237.177708</v>
      </c>
      <c r="Q57" s="131">
        <f>INDEX('Base de dados IHS'!$A$1:$V$676,MATCH($N57,'Base de dados IHS'!$C$1:$C$676,0),MATCH($Q$1,'Base de dados IHS'!$A$1:$V$1,0))</f>
        <v>1.3135707732649937E-2</v>
      </c>
      <c r="R57" s="131">
        <f>INDEX('Base de dados IHS'!$A$1:$V$676,MATCH($N57,'Base de dados IHS'!$C$1:$C$676,0),MATCH($R$1,'Base de dados IHS'!$A$1:$V$1,0))</f>
        <v>1.2746583528005067E-2</v>
      </c>
      <c r="S57" s="131">
        <f>INDEX('Base de dados IHS'!$A$1:$V$676,MATCH($N57,'Base de dados IHS'!$C$1:$C$676,0),MATCH($S$1,'Base de dados IHS'!$A$1:$V$1,0))</f>
        <v>-3.8912420464486987E-4</v>
      </c>
      <c r="T57" t="str">
        <f>IF(Q57&lt;'Cenario A ranking setor PIB'!$G$114,"N","Y")</f>
        <v>Y</v>
      </c>
    </row>
    <row r="58" spans="1:20" hidden="1" x14ac:dyDescent="0.45">
      <c r="A58" s="293" t="s">
        <v>109</v>
      </c>
      <c r="B58" s="297" t="s">
        <v>8</v>
      </c>
      <c r="C58" s="297" t="s">
        <v>958</v>
      </c>
      <c r="D58" s="311">
        <v>1283.72763272</v>
      </c>
      <c r="E58" s="311">
        <v>970.19543223000005</v>
      </c>
      <c r="F58" s="302">
        <f t="shared" si="3"/>
        <v>-0.24423576504751143</v>
      </c>
      <c r="G58" s="311">
        <v>1081.1947976900001</v>
      </c>
      <c r="H58" s="311">
        <v>970.19543223000005</v>
      </c>
      <c r="I58" s="302">
        <f t="shared" si="4"/>
        <v>-0.10266361408430102</v>
      </c>
      <c r="J58" s="311">
        <v>1189.3892349099999</v>
      </c>
      <c r="K58" s="311">
        <v>1378.8723630300001</v>
      </c>
      <c r="L58" s="311">
        <v>1488.1318580499999</v>
      </c>
      <c r="M58" s="312">
        <v>1836.71051674</v>
      </c>
      <c r="N58" t="str">
        <f t="shared" si="5"/>
        <v>ThailandManufacture of other transport equipment (C30)</v>
      </c>
      <c r="O58" s="11">
        <f>INDEX('Base de dados IHS'!$A$1:$V$676,MATCH($N58,'Base de dados IHS'!$C$1:$C$676,0),MATCH($O$1,'Base de dados IHS'!$A$1:$V$1,0))</f>
        <v>474324.68093352998</v>
      </c>
      <c r="P58" s="11">
        <f>INDEX('Base de dados IHS'!$A$1:$V$676,MATCH($N58,'Base de dados IHS'!$C$1:$C$676,0),MATCH($P$1,'Base de dados IHS'!$A$1:$V$1,0))</f>
        <v>518585.14704719</v>
      </c>
      <c r="Q58" s="131">
        <f>INDEX('Base de dados IHS'!$A$1:$V$676,MATCH($N58,'Base de dados IHS'!$C$1:$C$676,0),MATCH($Q$1,'Base de dados IHS'!$A$1:$V$1,0))</f>
        <v>2.2794403098781919E-3</v>
      </c>
      <c r="R58" s="131">
        <f>INDEX('Base de dados IHS'!$A$1:$V$676,MATCH($N58,'Base de dados IHS'!$C$1:$C$676,0),MATCH($R$1,'Base de dados IHS'!$A$1:$V$1,0))</f>
        <v>1.8708507903750561E-3</v>
      </c>
      <c r="S58" s="131">
        <f>INDEX('Base de dados IHS'!$A$1:$V$676,MATCH($N58,'Base de dados IHS'!$C$1:$C$676,0),MATCH($S$1,'Base de dados IHS'!$A$1:$V$1,0))</f>
        <v>-4.0858951950313582E-4</v>
      </c>
      <c r="T58" t="str">
        <f>IF(Q58&lt;'Cenario A ranking setor PIB'!$G$114,"N","Y")</f>
        <v>N</v>
      </c>
    </row>
    <row r="59" spans="1:20" x14ac:dyDescent="0.45">
      <c r="A59" s="293" t="s">
        <v>144</v>
      </c>
      <c r="B59" s="297" t="s">
        <v>8</v>
      </c>
      <c r="C59" s="297" t="s">
        <v>958</v>
      </c>
      <c r="D59" s="311">
        <v>472.56187301</v>
      </c>
      <c r="E59" s="311">
        <v>1131.45616475</v>
      </c>
      <c r="F59" s="302">
        <f t="shared" si="3"/>
        <v>1.3943026921388069</v>
      </c>
      <c r="G59" s="311">
        <v>1081.74290114</v>
      </c>
      <c r="H59" s="311">
        <v>1131.45616475</v>
      </c>
      <c r="I59" s="302">
        <f t="shared" si="4"/>
        <v>4.5956634943117747E-2</v>
      </c>
      <c r="J59" s="311">
        <v>1306.5470959199999</v>
      </c>
      <c r="K59" s="311">
        <v>1551.4967065799999</v>
      </c>
      <c r="L59" s="311">
        <v>1741.0294395200001</v>
      </c>
      <c r="M59" s="312">
        <v>2169.42153401</v>
      </c>
      <c r="N59" t="str">
        <f t="shared" si="5"/>
        <v>MalaysiaManufacture of other transport equipment (C30)</v>
      </c>
      <c r="O59" s="11">
        <f>INDEX('Base de dados IHS'!$A$1:$V$676,MATCH($N59,'Base de dados IHS'!$C$1:$C$676,0),MATCH($O$1,'Base de dados IHS'!$A$1:$V$1,0))</f>
        <v>301830.41438700003</v>
      </c>
      <c r="P59" s="11">
        <f>INDEX('Base de dados IHS'!$A$1:$V$676,MATCH($N59,'Base de dados IHS'!$C$1:$C$676,0),MATCH($P$1,'Base de dados IHS'!$A$1:$V$1,0))</f>
        <v>356559.39228144003</v>
      </c>
      <c r="Q59" s="131">
        <f>INDEX('Base de dados IHS'!$A$1:$V$676,MATCH($N59,'Base de dados IHS'!$C$1:$C$676,0),MATCH($Q$1,'Base de dados IHS'!$A$1:$V$1,0))</f>
        <v>3.583942669717221E-3</v>
      </c>
      <c r="R59" s="131">
        <f>INDEX('Base de dados IHS'!$A$1:$V$676,MATCH($N59,'Base de dados IHS'!$C$1:$C$676,0),MATCH($R$1,'Base de dados IHS'!$A$1:$V$1,0))</f>
        <v>3.1732614236029359E-3</v>
      </c>
      <c r="S59" s="131">
        <f>INDEX('Base de dados IHS'!$A$1:$V$676,MATCH($N59,'Base de dados IHS'!$C$1:$C$676,0),MATCH($S$1,'Base de dados IHS'!$A$1:$V$1,0))</f>
        <v>-4.1068124611428518E-4</v>
      </c>
      <c r="T59" t="str">
        <f>IF(Q59&lt;'Cenario A ranking setor PIB'!$G$114,"N","Y")</f>
        <v>Y</v>
      </c>
    </row>
    <row r="60" spans="1:20" x14ac:dyDescent="0.45">
      <c r="A60" s="293" t="s">
        <v>179</v>
      </c>
      <c r="B60" s="297" t="s">
        <v>8</v>
      </c>
      <c r="C60" s="297" t="s">
        <v>958</v>
      </c>
      <c r="D60" s="311">
        <v>357742.69163840002</v>
      </c>
      <c r="E60" s="311">
        <v>425811.66829101997</v>
      </c>
      <c r="F60" s="302">
        <f t="shared" si="3"/>
        <v>0.19027356321627642</v>
      </c>
      <c r="G60" s="311">
        <v>398831.16785152</v>
      </c>
      <c r="H60" s="311">
        <v>425811.66829101997</v>
      </c>
      <c r="I60" s="302">
        <f t="shared" si="4"/>
        <v>6.764892669959166E-2</v>
      </c>
      <c r="J60" s="311">
        <v>558500.45241554</v>
      </c>
      <c r="K60" s="311">
        <v>610314.86528306</v>
      </c>
      <c r="L60" s="311">
        <v>648133.16354849003</v>
      </c>
      <c r="M60" s="312">
        <v>746888.63404616003</v>
      </c>
      <c r="N60" t="str">
        <f t="shared" si="5"/>
        <v>WorldManufacture of other transport equipment (C30)</v>
      </c>
      <c r="O60" s="11">
        <f>INDEX('Base de dados IHS'!$A$1:$V$676,MATCH($N60,'Base de dados IHS'!$C$1:$C$676,0),MATCH($O$1,'Base de dados IHS'!$A$1:$V$1,0))</f>
        <v>74892116.540485993</v>
      </c>
      <c r="P60" s="11">
        <f>INDEX('Base de dados IHS'!$A$1:$V$676,MATCH($N60,'Base de dados IHS'!$C$1:$C$676,0),MATCH($P$1,'Base de dados IHS'!$A$1:$V$1,0))</f>
        <v>87029234.955234006</v>
      </c>
      <c r="Q60" s="131">
        <f>INDEX('Base de dados IHS'!$A$1:$V$676,MATCH($N60,'Base de dados IHS'!$C$1:$C$676,0),MATCH($Q$1,'Base de dados IHS'!$A$1:$V$1,0))</f>
        <v>5.3254092189518442E-3</v>
      </c>
      <c r="R60" s="131">
        <f>INDEX('Base de dados IHS'!$A$1:$V$676,MATCH($N60,'Base de dados IHS'!$C$1:$C$676,0),MATCH($R$1,'Base de dados IHS'!$A$1:$V$1,0))</f>
        <v>4.8927428640507808E-3</v>
      </c>
      <c r="S60" s="131">
        <f>INDEX('Base de dados IHS'!$A$1:$V$676,MATCH($N60,'Base de dados IHS'!$C$1:$C$676,0),MATCH($S$1,'Base de dados IHS'!$A$1:$V$1,0))</f>
        <v>-4.3266635490106335E-4</v>
      </c>
      <c r="T60" t="str">
        <f>IF(Q60&lt;'Cenario A ranking setor PIB'!$G$114,"N","Y")</f>
        <v>Y</v>
      </c>
    </row>
    <row r="61" spans="1:20" x14ac:dyDescent="0.45">
      <c r="A61" s="293" t="s">
        <v>106</v>
      </c>
      <c r="B61" s="297" t="s">
        <v>8</v>
      </c>
      <c r="C61" s="297" t="s">
        <v>958</v>
      </c>
      <c r="D61" s="311">
        <v>11560.675789090001</v>
      </c>
      <c r="E61" s="311">
        <v>15354.24603319</v>
      </c>
      <c r="F61" s="302">
        <f t="shared" si="3"/>
        <v>0.32814433284947353</v>
      </c>
      <c r="G61" s="311">
        <v>14618.879428730001</v>
      </c>
      <c r="H61" s="311">
        <v>15354.24603319</v>
      </c>
      <c r="I61" s="302">
        <f t="shared" si="4"/>
        <v>5.0302528866529084E-2</v>
      </c>
      <c r="J61" s="311">
        <v>42054.874692869998</v>
      </c>
      <c r="K61" s="311">
        <v>47822.702572100003</v>
      </c>
      <c r="L61" s="311">
        <v>50142.73979503</v>
      </c>
      <c r="M61" s="312">
        <v>54628.53300594</v>
      </c>
      <c r="N61" t="str">
        <f t="shared" si="5"/>
        <v>RussiaManufacture of other transport equipment (C30)</v>
      </c>
      <c r="O61" s="11">
        <f>INDEX('Base de dados IHS'!$A$1:$V$676,MATCH($N61,'Base de dados IHS'!$C$1:$C$676,0),MATCH($O$1,'Base de dados IHS'!$A$1:$V$1,0))</f>
        <v>1579786.0768998</v>
      </c>
      <c r="P61" s="11">
        <f>INDEX('Base de dados IHS'!$A$1:$V$676,MATCH($N61,'Base de dados IHS'!$C$1:$C$676,0),MATCH($P$1,'Base de dados IHS'!$A$1:$V$1,0))</f>
        <v>1741025.8573970001</v>
      </c>
      <c r="Q61" s="131">
        <f>INDEX('Base de dados IHS'!$A$1:$V$676,MATCH($N61,'Base de dados IHS'!$C$1:$C$676,0),MATCH($Q$1,'Base de dados IHS'!$A$1:$V$1,0))</f>
        <v>9.2537082346100599E-3</v>
      </c>
      <c r="R61" s="131">
        <f>INDEX('Base de dados IHS'!$A$1:$V$676,MATCH($N61,'Base de dados IHS'!$C$1:$C$676,0),MATCH($R$1,'Base de dados IHS'!$A$1:$V$1,0))</f>
        <v>8.8190798361525002E-3</v>
      </c>
      <c r="S61" s="131">
        <f>INDEX('Base de dados IHS'!$A$1:$V$676,MATCH($N61,'Base de dados IHS'!$C$1:$C$676,0),MATCH($S$1,'Base de dados IHS'!$A$1:$V$1,0))</f>
        <v>-4.3462839845755975E-4</v>
      </c>
      <c r="T61" t="str">
        <f>IF(Q61&lt;'Cenario A ranking setor PIB'!$G$114,"N","Y")</f>
        <v>Y</v>
      </c>
    </row>
    <row r="62" spans="1:20" x14ac:dyDescent="0.45">
      <c r="A62" s="293" t="s">
        <v>162</v>
      </c>
      <c r="B62" s="297" t="s">
        <v>8</v>
      </c>
      <c r="C62" s="297" t="s">
        <v>958</v>
      </c>
      <c r="D62" s="311">
        <v>425.58576617</v>
      </c>
      <c r="E62" s="311">
        <v>693.30741652999995</v>
      </c>
      <c r="F62" s="302">
        <f t="shared" si="3"/>
        <v>0.62906626969535129</v>
      </c>
      <c r="G62" s="311">
        <v>648.82097083999997</v>
      </c>
      <c r="H62" s="311">
        <v>693.30741652999995</v>
      </c>
      <c r="I62" s="302">
        <f t="shared" si="4"/>
        <v>6.8565055214546033E-2</v>
      </c>
      <c r="J62" s="311">
        <v>846.10577573</v>
      </c>
      <c r="K62" s="311">
        <v>940.06758993999995</v>
      </c>
      <c r="L62" s="311">
        <v>1009.79094117</v>
      </c>
      <c r="M62" s="312">
        <v>1145.77152849</v>
      </c>
      <c r="N62" t="str">
        <f t="shared" si="5"/>
        <v>RomaniaManufacture of other transport equipment (C30)</v>
      </c>
      <c r="O62" s="11">
        <f>INDEX('Base de dados IHS'!$A$1:$V$676,MATCH($N62,'Base de dados IHS'!$C$1:$C$676,0),MATCH($O$1,'Base de dados IHS'!$A$1:$V$1,0))</f>
        <v>204518.17392167001</v>
      </c>
      <c r="P62" s="11">
        <f>INDEX('Base de dados IHS'!$A$1:$V$676,MATCH($N62,'Base de dados IHS'!$C$1:$C$676,0),MATCH($P$1,'Base de dados IHS'!$A$1:$V$1,0))</f>
        <v>254974.25152873</v>
      </c>
      <c r="Q62" s="131">
        <f>INDEX('Base de dados IHS'!$A$1:$V$676,MATCH($N62,'Base de dados IHS'!$C$1:$C$676,0),MATCH($Q$1,'Base de dados IHS'!$A$1:$V$1,0))</f>
        <v>3.1724367492568014E-3</v>
      </c>
      <c r="R62" s="131">
        <f>INDEX('Base de dados IHS'!$A$1:$V$676,MATCH($N62,'Base de dados IHS'!$C$1:$C$676,0),MATCH($R$1,'Base de dados IHS'!$A$1:$V$1,0))</f>
        <v>2.7191271760704802E-3</v>
      </c>
      <c r="S62" s="131">
        <f>INDEX('Base de dados IHS'!$A$1:$V$676,MATCH($N62,'Base de dados IHS'!$C$1:$C$676,0),MATCH($S$1,'Base de dados IHS'!$A$1:$V$1,0))</f>
        <v>-4.5330957318632115E-4</v>
      </c>
      <c r="T62" t="str">
        <f>IF(Q62&lt;'Cenario A ranking setor PIB'!$G$114,"N","Y")</f>
        <v>Y</v>
      </c>
    </row>
    <row r="63" spans="1:20" x14ac:dyDescent="0.45">
      <c r="A63" s="293" t="s">
        <v>120</v>
      </c>
      <c r="B63" s="297" t="s">
        <v>8</v>
      </c>
      <c r="C63" s="297" t="s">
        <v>958</v>
      </c>
      <c r="D63" s="311">
        <v>4943.4892023299999</v>
      </c>
      <c r="E63" s="311">
        <v>5587.22635988</v>
      </c>
      <c r="F63" s="302">
        <f t="shared" si="3"/>
        <v>0.13021918956485012</v>
      </c>
      <c r="G63" s="311">
        <v>5490.2310745499999</v>
      </c>
      <c r="H63" s="311">
        <v>5587.22635988</v>
      </c>
      <c r="I63" s="302">
        <f t="shared" si="4"/>
        <v>1.7666885785485809E-2</v>
      </c>
      <c r="J63" s="311">
        <v>5844.6429266799996</v>
      </c>
      <c r="K63" s="311">
        <v>6251.5551091500001</v>
      </c>
      <c r="L63" s="311">
        <v>6528.7764786799999</v>
      </c>
      <c r="M63" s="312">
        <v>7229.0858793899997</v>
      </c>
      <c r="N63" t="str">
        <f t="shared" si="5"/>
        <v>AustraliaManufacture of other transport equipment (C30)</v>
      </c>
      <c r="O63" s="11">
        <f>INDEX('Base de dados IHS'!$A$1:$V$676,MATCH($N63,'Base de dados IHS'!$C$1:$C$676,0),MATCH($O$1,'Base de dados IHS'!$A$1:$V$1,0))</f>
        <v>1256563.3075111001</v>
      </c>
      <c r="P63" s="11">
        <f>INDEX('Base de dados IHS'!$A$1:$V$676,MATCH($N63,'Base de dados IHS'!$C$1:$C$676,0),MATCH($P$1,'Base de dados IHS'!$A$1:$V$1,0))</f>
        <v>1430586.2916371</v>
      </c>
      <c r="Q63" s="131">
        <f>INDEX('Base de dados IHS'!$A$1:$V$676,MATCH($N63,'Base de dados IHS'!$C$1:$C$676,0),MATCH($Q$1,'Base de dados IHS'!$A$1:$V$1,0))</f>
        <v>4.3692435086494846E-3</v>
      </c>
      <c r="R63" s="131">
        <f>INDEX('Base de dados IHS'!$A$1:$V$676,MATCH($N63,'Base de dados IHS'!$C$1:$C$676,0),MATCH($R$1,'Base de dados IHS'!$A$1:$V$1,0))</f>
        <v>3.9055500479360976E-3</v>
      </c>
      <c r="S63" s="131">
        <f>INDEX('Base de dados IHS'!$A$1:$V$676,MATCH($N63,'Base de dados IHS'!$C$1:$C$676,0),MATCH($S$1,'Base de dados IHS'!$A$1:$V$1,0))</f>
        <v>-4.6369346071338698E-4</v>
      </c>
      <c r="T63" t="str">
        <f>IF(Q63&lt;'Cenario A ranking setor PIB'!$G$114,"N","Y")</f>
        <v>Y</v>
      </c>
    </row>
    <row r="64" spans="1:20" hidden="1" x14ac:dyDescent="0.45">
      <c r="A64" s="293" t="s">
        <v>67</v>
      </c>
      <c r="B64" s="297" t="s">
        <v>8</v>
      </c>
      <c r="C64" s="297" t="s">
        <v>958</v>
      </c>
      <c r="D64" s="311">
        <v>1343.8968223899999</v>
      </c>
      <c r="E64" s="311">
        <v>1718.7852709199999</v>
      </c>
      <c r="F64" s="302">
        <f t="shared" si="3"/>
        <v>0.27895627274666412</v>
      </c>
      <c r="G64" s="311">
        <v>1906.28713075</v>
      </c>
      <c r="H64" s="311">
        <v>1718.7852709199999</v>
      </c>
      <c r="I64" s="302">
        <f t="shared" si="4"/>
        <v>-9.8359715493767319E-2</v>
      </c>
      <c r="J64" s="311">
        <v>1885.6065698299999</v>
      </c>
      <c r="K64" s="311">
        <v>1935.7933287999999</v>
      </c>
      <c r="L64" s="311">
        <v>1944.6812589399999</v>
      </c>
      <c r="M64" s="312">
        <v>1930.6877918099999</v>
      </c>
      <c r="N64" t="str">
        <f t="shared" si="5"/>
        <v>SwitzerlandManufacture of other transport equipment (C30)</v>
      </c>
      <c r="O64" s="11">
        <f>INDEX('Base de dados IHS'!$A$1:$V$676,MATCH($N64,'Base de dados IHS'!$C$1:$C$676,0),MATCH($O$1,'Base de dados IHS'!$A$1:$V$1,0))</f>
        <v>669989.49931316997</v>
      </c>
      <c r="P64" s="11">
        <f>INDEX('Base de dados IHS'!$A$1:$V$676,MATCH($N64,'Base de dados IHS'!$C$1:$C$676,0),MATCH($P$1,'Base de dados IHS'!$A$1:$V$1,0))</f>
        <v>743458.79269773001</v>
      </c>
      <c r="Q64" s="131">
        <f>INDEX('Base de dados IHS'!$A$1:$V$676,MATCH($N64,'Base de dados IHS'!$C$1:$C$676,0),MATCH($Q$1,'Base de dados IHS'!$A$1:$V$1,0))</f>
        <v>2.845249265405208E-3</v>
      </c>
      <c r="R64" s="131">
        <f>INDEX('Base de dados IHS'!$A$1:$V$676,MATCH($N64,'Base de dados IHS'!$C$1:$C$676,0),MATCH($R$1,'Base de dados IHS'!$A$1:$V$1,0))</f>
        <v>2.3118769833674036E-3</v>
      </c>
      <c r="S64" s="131">
        <f>INDEX('Base de dados IHS'!$A$1:$V$676,MATCH($N64,'Base de dados IHS'!$C$1:$C$676,0),MATCH($S$1,'Base de dados IHS'!$A$1:$V$1,0))</f>
        <v>-5.3337228203780441E-4</v>
      </c>
      <c r="T64" t="str">
        <f>IF(Q64&lt;'Cenario A ranking setor PIB'!$G$114,"N","Y")</f>
        <v>N</v>
      </c>
    </row>
    <row r="65" spans="1:20" x14ac:dyDescent="0.45">
      <c r="A65" s="293" t="s">
        <v>100</v>
      </c>
      <c r="B65" s="297" t="s">
        <v>8</v>
      </c>
      <c r="C65" s="297" t="s">
        <v>958</v>
      </c>
      <c r="D65" s="311">
        <v>12731.633698920001</v>
      </c>
      <c r="E65" s="311">
        <v>12685.030561809999</v>
      </c>
      <c r="F65" s="302">
        <f t="shared" si="3"/>
        <v>-3.660420823602184E-3</v>
      </c>
      <c r="G65" s="311">
        <v>15932.869781699999</v>
      </c>
      <c r="H65" s="311">
        <v>12685.030561809999</v>
      </c>
      <c r="I65" s="302">
        <f t="shared" si="4"/>
        <v>-0.20384521209232298</v>
      </c>
      <c r="J65" s="311">
        <v>17071.984176869999</v>
      </c>
      <c r="K65" s="311">
        <v>18053.758071299999</v>
      </c>
      <c r="L65" s="311">
        <v>18790.216686610001</v>
      </c>
      <c r="M65" s="312">
        <v>20401.165431519999</v>
      </c>
      <c r="N65" t="str">
        <f t="shared" si="5"/>
        <v>JapanManufacture of other transport equipment (C30)</v>
      </c>
      <c r="O65" s="11">
        <f>INDEX('Base de dados IHS'!$A$1:$V$676,MATCH($N65,'Base de dados IHS'!$C$1:$C$676,0),MATCH($O$1,'Base de dados IHS'!$A$1:$V$1,0))</f>
        <v>4983596.864085</v>
      </c>
      <c r="P65" s="11">
        <f>INDEX('Base de dados IHS'!$A$1:$V$676,MATCH($N65,'Base de dados IHS'!$C$1:$C$676,0),MATCH($P$1,'Base de dados IHS'!$A$1:$V$1,0))</f>
        <v>5032370.4042106001</v>
      </c>
      <c r="Q65" s="131">
        <f>INDEX('Base de dados IHS'!$A$1:$V$676,MATCH($N65,'Base de dados IHS'!$C$1:$C$676,0),MATCH($Q$1,'Base de dados IHS'!$A$1:$V$1,0))</f>
        <v>3.1970623259121324E-3</v>
      </c>
      <c r="R65" s="131">
        <f>INDEX('Base de dados IHS'!$A$1:$V$676,MATCH($N65,'Base de dados IHS'!$C$1:$C$676,0),MATCH($R$1,'Base de dados IHS'!$A$1:$V$1,0))</f>
        <v>2.5206869810688805E-3</v>
      </c>
      <c r="S65" s="131">
        <f>INDEX('Base de dados IHS'!$A$1:$V$676,MATCH($N65,'Base de dados IHS'!$C$1:$C$676,0),MATCH($S$1,'Base de dados IHS'!$A$1:$V$1,0))</f>
        <v>-6.7637534484325194E-4</v>
      </c>
      <c r="T65" t="str">
        <f>IF(Q65&lt;'Cenario A ranking setor PIB'!$G$114,"N","Y")</f>
        <v>Y</v>
      </c>
    </row>
    <row r="66" spans="1:20" x14ac:dyDescent="0.45">
      <c r="A66" s="293" t="s">
        <v>151</v>
      </c>
      <c r="B66" s="297" t="s">
        <v>8</v>
      </c>
      <c r="C66" s="297" t="s">
        <v>958</v>
      </c>
      <c r="D66" s="311">
        <v>2421.2190189100002</v>
      </c>
      <c r="E66" s="311">
        <v>2262.9784408400001</v>
      </c>
      <c r="F66" s="302">
        <f t="shared" ref="F66:F76" si="6">H66/D66-1</f>
        <v>-6.5355747181119472E-2</v>
      </c>
      <c r="G66" s="311">
        <v>2441.0338699200001</v>
      </c>
      <c r="H66" s="311">
        <v>2262.9784408400001</v>
      </c>
      <c r="I66" s="302">
        <f t="shared" ref="I66:I97" si="7">H66/G66-1</f>
        <v>-7.2942629462914965E-2</v>
      </c>
      <c r="J66" s="311">
        <v>2955.4103770800002</v>
      </c>
      <c r="K66" s="311">
        <v>3060.2930486800001</v>
      </c>
      <c r="L66" s="311">
        <v>3113.7275422900002</v>
      </c>
      <c r="M66" s="312">
        <v>3245.1439479800001</v>
      </c>
      <c r="N66" t="str">
        <f t="shared" ref="N66:N76" si="8">A66&amp;B66</f>
        <v>NorwayManufacture of other transport equipment (C30)</v>
      </c>
      <c r="O66" s="11">
        <f>INDEX('Base de dados IHS'!$A$1:$V$676,MATCH($N66,'Base de dados IHS'!$C$1:$C$676,0),MATCH($O$1,'Base de dados IHS'!$A$1:$V$1,0))</f>
        <v>386512.35690163</v>
      </c>
      <c r="P66" s="11">
        <f>INDEX('Base de dados IHS'!$A$1:$V$676,MATCH($N66,'Base de dados IHS'!$C$1:$C$676,0),MATCH($P$1,'Base de dados IHS'!$A$1:$V$1,0))</f>
        <v>418559.21595058002</v>
      </c>
      <c r="Q66" s="131">
        <f>INDEX('Base de dados IHS'!$A$1:$V$676,MATCH($N66,'Base de dados IHS'!$C$1:$C$676,0),MATCH($Q$1,'Base de dados IHS'!$A$1:$V$1,0))</f>
        <v>6.3155390153315583E-3</v>
      </c>
      <c r="R66" s="131">
        <f>INDEX('Base de dados IHS'!$A$1:$V$676,MATCH($N66,'Base de dados IHS'!$C$1:$C$676,0),MATCH($R$1,'Base de dados IHS'!$A$1:$V$1,0))</f>
        <v>5.4065908827275562E-3</v>
      </c>
      <c r="S66" s="131">
        <f>INDEX('Base de dados IHS'!$A$1:$V$676,MATCH($N66,'Base de dados IHS'!$C$1:$C$676,0),MATCH($S$1,'Base de dados IHS'!$A$1:$V$1,0))</f>
        <v>-9.0894813260400213E-4</v>
      </c>
      <c r="T66" t="str">
        <f>IF(Q66&lt;'Cenario A ranking setor PIB'!$G$114,"N","Y")</f>
        <v>Y</v>
      </c>
    </row>
    <row r="67" spans="1:20" x14ac:dyDescent="0.45">
      <c r="A67" s="293" t="s">
        <v>77</v>
      </c>
      <c r="B67" s="297" t="s">
        <v>8</v>
      </c>
      <c r="C67" s="297" t="s">
        <v>958</v>
      </c>
      <c r="D67" s="311">
        <v>5592.8247194599999</v>
      </c>
      <c r="E67" s="311">
        <v>4452.2393319700004</v>
      </c>
      <c r="F67" s="302">
        <f t="shared" si="6"/>
        <v>-0.20393726689151914</v>
      </c>
      <c r="G67" s="311">
        <v>5428.7158933000001</v>
      </c>
      <c r="H67" s="311">
        <v>4452.2393319700004</v>
      </c>
      <c r="I67" s="302">
        <f t="shared" si="7"/>
        <v>-0.17987247454506605</v>
      </c>
      <c r="J67" s="311">
        <v>5793.2690792599997</v>
      </c>
      <c r="K67" s="311">
        <v>6325.3126260199997</v>
      </c>
      <c r="L67" s="311">
        <v>6651.21072164</v>
      </c>
      <c r="M67" s="312">
        <v>7389.0497371700003</v>
      </c>
      <c r="N67" t="str">
        <f t="shared" si="8"/>
        <v>SpainManufacture of other transport equipment (C30)</v>
      </c>
      <c r="O67" s="11">
        <f>INDEX('Base de dados IHS'!$A$1:$V$676,MATCH($N67,'Base de dados IHS'!$C$1:$C$676,0),MATCH($O$1,'Base de dados IHS'!$A$1:$V$1,0))</f>
        <v>1259732.1048611</v>
      </c>
      <c r="P67" s="11">
        <f>INDEX('Base de dados IHS'!$A$1:$V$676,MATCH($N67,'Base de dados IHS'!$C$1:$C$676,0),MATCH($P$1,'Base de dados IHS'!$A$1:$V$1,0))</f>
        <v>1317888.2673469</v>
      </c>
      <c r="Q67" s="131">
        <f>INDEX('Base de dados IHS'!$A$1:$V$676,MATCH($N67,'Base de dados IHS'!$C$1:$C$676,0),MATCH($Q$1,'Base de dados IHS'!$A$1:$V$1,0))</f>
        <v>4.3094209255693924E-3</v>
      </c>
      <c r="R67" s="131">
        <f>INDEX('Base de dados IHS'!$A$1:$V$676,MATCH($N67,'Base de dados IHS'!$C$1:$C$676,0),MATCH($R$1,'Base de dados IHS'!$A$1:$V$1,0))</f>
        <v>3.3783132017200543E-3</v>
      </c>
      <c r="S67" s="131">
        <f>INDEX('Base de dados IHS'!$A$1:$V$676,MATCH($N67,'Base de dados IHS'!$C$1:$C$676,0),MATCH($S$1,'Base de dados IHS'!$A$1:$V$1,0))</f>
        <v>-9.3110772384933814E-4</v>
      </c>
      <c r="T67" t="str">
        <f>IF(Q67&lt;'Cenario A ranking setor PIB'!$G$114,"N","Y")</f>
        <v>Y</v>
      </c>
    </row>
    <row r="68" spans="1:20" x14ac:dyDescent="0.45">
      <c r="A68" s="293" t="s">
        <v>141</v>
      </c>
      <c r="B68" s="297" t="s">
        <v>8</v>
      </c>
      <c r="C68" s="297" t="s">
        <v>958</v>
      </c>
      <c r="D68" s="311">
        <v>136770.75088795999</v>
      </c>
      <c r="E68" s="311">
        <v>153242.31017439</v>
      </c>
      <c r="F68" s="302">
        <f t="shared" si="6"/>
        <v>0.12043188459148846</v>
      </c>
      <c r="G68" s="311">
        <v>152950.47490696999</v>
      </c>
      <c r="H68" s="311">
        <v>153242.31017439</v>
      </c>
      <c r="I68" s="302">
        <f t="shared" si="7"/>
        <v>1.9080376677320654E-3</v>
      </c>
      <c r="J68" s="311">
        <v>197906.69366046999</v>
      </c>
      <c r="K68" s="311">
        <v>203546.77908353001</v>
      </c>
      <c r="L68" s="311">
        <v>209487.09796578999</v>
      </c>
      <c r="M68" s="312">
        <v>233345.55723179001</v>
      </c>
      <c r="N68" t="str">
        <f t="shared" si="8"/>
        <v>United StatesManufacture of other transport equipment (C30)</v>
      </c>
      <c r="O68" s="11">
        <f>INDEX('Base de dados IHS'!$A$1:$V$676,MATCH($N68,'Base de dados IHS'!$C$1:$C$676,0),MATCH($O$1,'Base de dados IHS'!$A$1:$V$1,0))</f>
        <v>19553083.060252</v>
      </c>
      <c r="P68" s="11">
        <f>INDEX('Base de dados IHS'!$A$1:$V$676,MATCH($N68,'Base de dados IHS'!$C$1:$C$676,0),MATCH($P$1,'Base de dados IHS'!$A$1:$V$1,0))</f>
        <v>22265681.170655001</v>
      </c>
      <c r="Q68" s="131">
        <f>INDEX('Base de dados IHS'!$A$1:$V$676,MATCH($N68,'Base de dados IHS'!$C$1:$C$676,0),MATCH($Q$1,'Base de dados IHS'!$A$1:$V$1,0))</f>
        <v>7.8223201136956022E-3</v>
      </c>
      <c r="R68" s="131">
        <f>INDEX('Base de dados IHS'!$A$1:$V$676,MATCH($N68,'Base de dados IHS'!$C$1:$C$676,0),MATCH($R$1,'Base de dados IHS'!$A$1:$V$1,0))</f>
        <v>6.8824442872358798E-3</v>
      </c>
      <c r="S68" s="131">
        <f>INDEX('Base de dados IHS'!$A$1:$V$676,MATCH($N68,'Base de dados IHS'!$C$1:$C$676,0),MATCH($S$1,'Base de dados IHS'!$A$1:$V$1,0))</f>
        <v>-9.3987582645972245E-4</v>
      </c>
      <c r="T68" t="str">
        <f>IF(Q68&lt;'Cenario A ranking setor PIB'!$G$114,"N","Y")</f>
        <v>Y</v>
      </c>
    </row>
    <row r="69" spans="1:20" x14ac:dyDescent="0.45">
      <c r="A69" s="293" t="s">
        <v>74</v>
      </c>
      <c r="B69" s="297" t="s">
        <v>8</v>
      </c>
      <c r="C69" s="297" t="s">
        <v>958</v>
      </c>
      <c r="D69" s="311">
        <v>1921.12374963</v>
      </c>
      <c r="E69" s="311">
        <v>2546.1004494499998</v>
      </c>
      <c r="F69" s="302">
        <f t="shared" si="6"/>
        <v>0.32531829349377817</v>
      </c>
      <c r="G69" s="311">
        <v>2719.1270535100002</v>
      </c>
      <c r="H69" s="311">
        <v>2546.1004494499998</v>
      </c>
      <c r="I69" s="302">
        <f t="shared" si="7"/>
        <v>-6.3633144261003971E-2</v>
      </c>
      <c r="J69" s="311">
        <v>2794.3321983599999</v>
      </c>
      <c r="K69" s="311">
        <v>2886.2813258199999</v>
      </c>
      <c r="L69" s="311">
        <v>2941.6288008900001</v>
      </c>
      <c r="M69" s="312">
        <v>3125.34612668</v>
      </c>
      <c r="N69" t="str">
        <f t="shared" si="8"/>
        <v>SwedenManufacture of other transport equipment (C30)</v>
      </c>
      <c r="O69" s="11">
        <f>INDEX('Base de dados IHS'!$A$1:$V$676,MATCH($N69,'Base de dados IHS'!$C$1:$C$676,0),MATCH($O$1,'Base de dados IHS'!$A$1:$V$1,0))</f>
        <v>490179.06760786998</v>
      </c>
      <c r="P69" s="11">
        <f>INDEX('Base de dados IHS'!$A$1:$V$676,MATCH($N69,'Base de dados IHS'!$C$1:$C$676,0),MATCH($P$1,'Base de dados IHS'!$A$1:$V$1,0))</f>
        <v>552840.30345001002</v>
      </c>
      <c r="Q69" s="131">
        <f>INDEX('Base de dados IHS'!$A$1:$V$676,MATCH($N69,'Base de dados IHS'!$C$1:$C$676,0),MATCH($Q$1,'Base de dados IHS'!$A$1:$V$1,0))</f>
        <v>5.5472116889439035E-3</v>
      </c>
      <c r="R69" s="131">
        <f>INDEX('Base de dados IHS'!$A$1:$V$676,MATCH($N69,'Base de dados IHS'!$C$1:$C$676,0),MATCH($R$1,'Base de dados IHS'!$A$1:$V$1,0))</f>
        <v>4.6054899282143751E-3</v>
      </c>
      <c r="S69" s="131">
        <f>INDEX('Base de dados IHS'!$A$1:$V$676,MATCH($N69,'Base de dados IHS'!$C$1:$C$676,0),MATCH($S$1,'Base de dados IHS'!$A$1:$V$1,0))</f>
        <v>-9.4172176072952838E-4</v>
      </c>
      <c r="T69" t="str">
        <f>IF(Q69&lt;'Cenario A ranking setor PIB'!$G$114,"N","Y")</f>
        <v>Y</v>
      </c>
    </row>
    <row r="70" spans="1:20" x14ac:dyDescent="0.45">
      <c r="A70" s="294" t="s">
        <v>18</v>
      </c>
      <c r="B70" s="299" t="s">
        <v>8</v>
      </c>
      <c r="C70" s="297" t="s">
        <v>958</v>
      </c>
      <c r="D70" s="313">
        <v>5550.0472535700001</v>
      </c>
      <c r="E70" s="313">
        <v>3835.61076761</v>
      </c>
      <c r="F70" s="304">
        <f t="shared" si="6"/>
        <v>-0.30890484488347547</v>
      </c>
      <c r="G70" s="313">
        <v>5788.2895820399999</v>
      </c>
      <c r="H70" s="313">
        <v>3835.61076761</v>
      </c>
      <c r="I70" s="304">
        <f t="shared" si="7"/>
        <v>-0.33734988320017778</v>
      </c>
      <c r="J70" s="313">
        <v>5038.2272060499999</v>
      </c>
      <c r="K70" s="313">
        <v>5911.8657185800002</v>
      </c>
      <c r="L70" s="313">
        <v>6590.42199618</v>
      </c>
      <c r="M70" s="314">
        <v>7800.7639048199999</v>
      </c>
      <c r="N70" t="str">
        <f t="shared" si="8"/>
        <v>BrazilManufacture of other transport equipment (C30)</v>
      </c>
      <c r="O70" s="11">
        <f>INDEX('Base de dados IHS'!$A$1:$V$676,MATCH($N70,'Base de dados IHS'!$C$1:$C$676,0),MATCH($O$1,'Base de dados IHS'!$A$1:$V$1,0))</f>
        <v>1855726.8356911</v>
      </c>
      <c r="P70" s="11">
        <f>INDEX('Base de dados IHS'!$A$1:$V$676,MATCH($N70,'Base de dados IHS'!$C$1:$C$676,0),MATCH($P$1,'Base de dados IHS'!$A$1:$V$1,0))</f>
        <v>1898091.4722179</v>
      </c>
      <c r="Q70" s="131">
        <f>INDEX('Base de dados IHS'!$A$1:$V$676,MATCH($N70,'Base de dados IHS'!$C$1:$C$676,0),MATCH($Q$1,'Base de dados IHS'!$A$1:$V$1,0))</f>
        <v>3.1191495810235217E-3</v>
      </c>
      <c r="R70" s="131">
        <f>INDEX('Base de dados IHS'!$A$1:$V$676,MATCH($N70,'Base de dados IHS'!$C$1:$C$676,0),MATCH($R$1,'Base de dados IHS'!$A$1:$V$1,0))</f>
        <v>2.0207723514653005E-3</v>
      </c>
      <c r="S70" s="131">
        <f>INDEX('Base de dados IHS'!$A$1:$V$676,MATCH($N70,'Base de dados IHS'!$C$1:$C$676,0),MATCH($S$1,'Base de dados IHS'!$A$1:$V$1,0))</f>
        <v>-1.0983772295582212E-3</v>
      </c>
      <c r="T70" t="str">
        <f>IF(Q70&lt;'Cenario A ranking setor PIB'!$G$114,"N","Y")</f>
        <v>Y</v>
      </c>
    </row>
    <row r="71" spans="1:20" x14ac:dyDescent="0.45">
      <c r="A71" s="293" t="s">
        <v>122</v>
      </c>
      <c r="B71" s="297" t="s">
        <v>8</v>
      </c>
      <c r="C71" s="297" t="s">
        <v>958</v>
      </c>
      <c r="D71" s="311">
        <v>1414.26788867</v>
      </c>
      <c r="E71" s="311">
        <v>1886.98997024</v>
      </c>
      <c r="F71" s="302">
        <f t="shared" si="6"/>
        <v>0.33425214936793579</v>
      </c>
      <c r="G71" s="311">
        <v>1664.00622939</v>
      </c>
      <c r="H71" s="311">
        <v>1886.98997024</v>
      </c>
      <c r="I71" s="302">
        <f t="shared" si="7"/>
        <v>0.13400415029199886</v>
      </c>
      <c r="J71" s="311">
        <v>2456.7083032199998</v>
      </c>
      <c r="K71" s="311">
        <v>3298.7761487500002</v>
      </c>
      <c r="L71" s="311">
        <v>3995.6814303400001</v>
      </c>
      <c r="M71" s="312">
        <v>5219.7451380800003</v>
      </c>
      <c r="N71" t="str">
        <f t="shared" si="8"/>
        <v>VietnamManufacture of other transport equipment (C30)</v>
      </c>
      <c r="O71" s="11">
        <f>INDEX('Base de dados IHS'!$A$1:$V$676,MATCH($N71,'Base de dados IHS'!$C$1:$C$676,0),MATCH($O$1,'Base de dados IHS'!$A$1:$V$1,0))</f>
        <v>254018.52751081</v>
      </c>
      <c r="P71" s="11">
        <f>INDEX('Base de dados IHS'!$A$1:$V$676,MATCH($N71,'Base de dados IHS'!$C$1:$C$676,0),MATCH($P$1,'Base de dados IHS'!$A$1:$V$1,0))</f>
        <v>352775.42056751001</v>
      </c>
      <c r="Q71" s="131">
        <f>INDEX('Base de dados IHS'!$A$1:$V$676,MATCH($N71,'Base de dados IHS'!$C$1:$C$676,0),MATCH($Q$1,'Base de dados IHS'!$A$1:$V$1,0))</f>
        <v>6.5507277980705039E-3</v>
      </c>
      <c r="R71" s="131">
        <f>INDEX('Base de dados IHS'!$A$1:$V$676,MATCH($N71,'Base de dados IHS'!$C$1:$C$676,0),MATCH($R$1,'Base de dados IHS'!$A$1:$V$1,0))</f>
        <v>5.3489836882751026E-3</v>
      </c>
      <c r="S71" s="131">
        <f>INDEX('Base de dados IHS'!$A$1:$V$676,MATCH($N71,'Base de dados IHS'!$C$1:$C$676,0),MATCH($S$1,'Base de dados IHS'!$A$1:$V$1,0))</f>
        <v>-1.2017441097954013E-3</v>
      </c>
      <c r="T71" t="str">
        <f>IF(Q71&lt;'Cenario A ranking setor PIB'!$G$114,"N","Y")</f>
        <v>Y</v>
      </c>
    </row>
    <row r="72" spans="1:20" x14ac:dyDescent="0.45">
      <c r="A72" s="293" t="s">
        <v>97</v>
      </c>
      <c r="B72" s="297" t="s">
        <v>8</v>
      </c>
      <c r="C72" s="297" t="s">
        <v>958</v>
      </c>
      <c r="D72" s="311">
        <v>17985.810012580001</v>
      </c>
      <c r="E72" s="311">
        <v>17302.34868553</v>
      </c>
      <c r="F72" s="302">
        <f t="shared" si="6"/>
        <v>-3.8000030389065631E-2</v>
      </c>
      <c r="G72" s="311">
        <v>19719.364943159999</v>
      </c>
      <c r="H72" s="311">
        <v>17302.34868553</v>
      </c>
      <c r="I72" s="302">
        <f t="shared" si="7"/>
        <v>-0.12257069457342651</v>
      </c>
      <c r="J72" s="311">
        <v>20869.036233899998</v>
      </c>
      <c r="K72" s="311">
        <v>21975.656312430001</v>
      </c>
      <c r="L72" s="311">
        <v>22913.184800359999</v>
      </c>
      <c r="M72" s="312">
        <v>25154.135985280001</v>
      </c>
      <c r="N72" t="str">
        <f t="shared" si="8"/>
        <v>FranceManufacture of other transport equipment (C30)</v>
      </c>
      <c r="O72" s="11">
        <f>INDEX('Base de dados IHS'!$A$1:$V$676,MATCH($N72,'Base de dados IHS'!$C$1:$C$676,0),MATCH($O$1,'Base de dados IHS'!$A$1:$V$1,0))</f>
        <v>2544956.5086996001</v>
      </c>
      <c r="P72" s="11">
        <f>INDEX('Base de dados IHS'!$A$1:$V$676,MATCH($N72,'Base de dados IHS'!$C$1:$C$676,0),MATCH($P$1,'Base de dados IHS'!$A$1:$V$1,0))</f>
        <v>2682424.2983101001</v>
      </c>
      <c r="Q72" s="131">
        <f>INDEX('Base de dados IHS'!$A$1:$V$676,MATCH($N72,'Base de dados IHS'!$C$1:$C$676,0),MATCH($Q$1,'Base de dados IHS'!$A$1:$V$1,0))</f>
        <v>7.7484094033638436E-3</v>
      </c>
      <c r="R72" s="131">
        <f>INDEX('Base de dados IHS'!$A$1:$V$676,MATCH($N72,'Base de dados IHS'!$C$1:$C$676,0),MATCH($R$1,'Base de dados IHS'!$A$1:$V$1,0))</f>
        <v>6.4502654171565265E-3</v>
      </c>
      <c r="S72" s="131">
        <f>INDEX('Base de dados IHS'!$A$1:$V$676,MATCH($N72,'Base de dados IHS'!$C$1:$C$676,0),MATCH($S$1,'Base de dados IHS'!$A$1:$V$1,0))</f>
        <v>-1.2981439862073171E-3</v>
      </c>
      <c r="T72" t="str">
        <f>IF(Q72&lt;'Cenario A ranking setor PIB'!$G$114,"N","Y")</f>
        <v>Y</v>
      </c>
    </row>
    <row r="73" spans="1:20" x14ac:dyDescent="0.45">
      <c r="A73" s="293" t="s">
        <v>99</v>
      </c>
      <c r="B73" s="297" t="s">
        <v>8</v>
      </c>
      <c r="C73" s="297" t="s">
        <v>958</v>
      </c>
      <c r="D73" s="311">
        <v>7456.5686453400003</v>
      </c>
      <c r="E73" s="311">
        <v>6238.9711786999997</v>
      </c>
      <c r="F73" s="302">
        <f t="shared" si="6"/>
        <v>-0.16329192750085408</v>
      </c>
      <c r="G73" s="311">
        <v>6377.4613917300003</v>
      </c>
      <c r="H73" s="311">
        <v>6238.9711786999997</v>
      </c>
      <c r="I73" s="302">
        <f t="shared" si="7"/>
        <v>-2.1715570588884847E-2</v>
      </c>
      <c r="J73" s="311">
        <v>7288.5333348499998</v>
      </c>
      <c r="K73" s="311">
        <v>8258.6410812600006</v>
      </c>
      <c r="L73" s="311">
        <v>8987.66928362</v>
      </c>
      <c r="M73" s="312">
        <v>10662.28979226</v>
      </c>
      <c r="N73" t="str">
        <f t="shared" si="8"/>
        <v>IndonesiaManufacture of other transport equipment (C30)</v>
      </c>
      <c r="O73" s="11">
        <f>INDEX('Base de dados IHS'!$A$1:$V$676,MATCH($N73,'Base de dados IHS'!$C$1:$C$676,0),MATCH($O$1,'Base de dados IHS'!$A$1:$V$1,0))</f>
        <v>917924.88667253999</v>
      </c>
      <c r="P73" s="11">
        <f>INDEX('Base de dados IHS'!$A$1:$V$676,MATCH($N73,'Base de dados IHS'!$C$1:$C$676,0),MATCH($P$1,'Base de dados IHS'!$A$1:$V$1,0))</f>
        <v>1136354.4627425</v>
      </c>
      <c r="Q73" s="131">
        <f>INDEX('Base de dados IHS'!$A$1:$V$676,MATCH($N73,'Base de dados IHS'!$C$1:$C$676,0),MATCH($Q$1,'Base de dados IHS'!$A$1:$V$1,0))</f>
        <v>6.9476941788212919E-3</v>
      </c>
      <c r="R73" s="131">
        <f>INDEX('Base de dados IHS'!$A$1:$V$676,MATCH($N73,'Base de dados IHS'!$C$1:$C$676,0),MATCH($R$1,'Base de dados IHS'!$A$1:$V$1,0))</f>
        <v>5.4903389595907818E-3</v>
      </c>
      <c r="S73" s="131">
        <f>INDEX('Base de dados IHS'!$A$1:$V$676,MATCH($N73,'Base de dados IHS'!$C$1:$C$676,0),MATCH($S$1,'Base de dados IHS'!$A$1:$V$1,0))</f>
        <v>-1.4573552192305101E-3</v>
      </c>
      <c r="T73" t="str">
        <f>IF(Q73&lt;'Cenario A ranking setor PIB'!$G$114,"N","Y")</f>
        <v>Y</v>
      </c>
    </row>
    <row r="74" spans="1:20" hidden="1" x14ac:dyDescent="0.45">
      <c r="A74" s="293" t="s">
        <v>157</v>
      </c>
      <c r="B74" s="297" t="s">
        <v>8</v>
      </c>
      <c r="C74" s="297" t="s">
        <v>958</v>
      </c>
      <c r="D74" s="311">
        <v>350.88504037000001</v>
      </c>
      <c r="E74" s="311">
        <v>142.11332157999999</v>
      </c>
      <c r="F74" s="302">
        <f t="shared" si="6"/>
        <v>-0.5949860916551335</v>
      </c>
      <c r="G74" s="311">
        <v>265.97222767</v>
      </c>
      <c r="H74" s="311">
        <v>142.11332157999999</v>
      </c>
      <c r="I74" s="302">
        <f t="shared" si="7"/>
        <v>-0.46568360604805548</v>
      </c>
      <c r="J74" s="311">
        <v>165.77114925000001</v>
      </c>
      <c r="K74" s="311">
        <v>180.95890562</v>
      </c>
      <c r="L74" s="311">
        <v>188.81456975</v>
      </c>
      <c r="M74" s="312">
        <v>218.08438411</v>
      </c>
      <c r="N74" t="str">
        <f t="shared" si="8"/>
        <v>SlovakiaManufacture of other transport equipment (C30)</v>
      </c>
      <c r="O74" s="11">
        <f>INDEX('Base de dados IHS'!$A$1:$V$676,MATCH($N74,'Base de dados IHS'!$C$1:$C$676,0),MATCH($O$1,'Base de dados IHS'!$A$1:$V$1,0))</f>
        <v>94460.171576160006</v>
      </c>
      <c r="P74" s="11">
        <f>INDEX('Base de dados IHS'!$A$1:$V$676,MATCH($N74,'Base de dados IHS'!$C$1:$C$676,0),MATCH($P$1,'Base de dados IHS'!$A$1:$V$1,0))</f>
        <v>107076.6714533</v>
      </c>
      <c r="Q74" s="131">
        <f>INDEX('Base de dados IHS'!$A$1:$V$676,MATCH($N74,'Base de dados IHS'!$C$1:$C$676,0),MATCH($Q$1,'Base de dados IHS'!$A$1:$V$1,0))</f>
        <v>2.8157076493933284E-3</v>
      </c>
      <c r="R74" s="131">
        <f>INDEX('Base de dados IHS'!$A$1:$V$676,MATCH($N74,'Base de dados IHS'!$C$1:$C$676,0),MATCH($R$1,'Base de dados IHS'!$A$1:$V$1,0))</f>
        <v>1.3272108634977576E-3</v>
      </c>
      <c r="S74" s="131">
        <f>INDEX('Base de dados IHS'!$A$1:$V$676,MATCH($N74,'Base de dados IHS'!$C$1:$C$676,0),MATCH($S$1,'Base de dados IHS'!$A$1:$V$1,0))</f>
        <v>-1.4884967858955708E-3</v>
      </c>
      <c r="T74" t="str">
        <f>IF(Q74&lt;'Cenario A ranking setor PIB'!$G$114,"N","Y")</f>
        <v>N</v>
      </c>
    </row>
    <row r="75" spans="1:20" x14ac:dyDescent="0.45">
      <c r="A75" s="293" t="s">
        <v>63</v>
      </c>
      <c r="B75" s="297" t="s">
        <v>8</v>
      </c>
      <c r="C75" s="297" t="s">
        <v>958</v>
      </c>
      <c r="D75" s="311">
        <v>8715.5884063199992</v>
      </c>
      <c r="E75" s="311">
        <v>8414.2811215900001</v>
      </c>
      <c r="F75" s="302">
        <f t="shared" si="6"/>
        <v>-3.4571077784204429E-2</v>
      </c>
      <c r="G75" s="311">
        <v>10388.46664495</v>
      </c>
      <c r="H75" s="311">
        <v>8414.2811215900001</v>
      </c>
      <c r="I75" s="302">
        <f t="shared" si="7"/>
        <v>-0.19003627684742896</v>
      </c>
      <c r="J75" s="311">
        <v>9659.2930926999998</v>
      </c>
      <c r="K75" s="311">
        <v>10148.24101623</v>
      </c>
      <c r="L75" s="311">
        <v>10589.267453140001</v>
      </c>
      <c r="M75" s="312">
        <v>12093.16476277</v>
      </c>
      <c r="N75" t="str">
        <f t="shared" si="8"/>
        <v>CanadaManufacture of other transport equipment (C30)</v>
      </c>
      <c r="O75" s="11">
        <f>INDEX('Base de dados IHS'!$A$1:$V$676,MATCH($N75,'Base de dados IHS'!$C$1:$C$676,0),MATCH($O$1,'Base de dados IHS'!$A$1:$V$1,0))</f>
        <v>1599989.9756132001</v>
      </c>
      <c r="P75" s="11">
        <f>INDEX('Base de dados IHS'!$A$1:$V$676,MATCH($N75,'Base de dados IHS'!$C$1:$C$676,0),MATCH($P$1,'Base de dados IHS'!$A$1:$V$1,0))</f>
        <v>1743385.5162593001</v>
      </c>
      <c r="Q75" s="131">
        <f>INDEX('Base de dados IHS'!$A$1:$V$676,MATCH($N75,'Base de dados IHS'!$C$1:$C$676,0),MATCH($Q$1,'Base de dados IHS'!$A$1:$V$1,0))</f>
        <v>6.4928323322579534E-3</v>
      </c>
      <c r="R75" s="131">
        <f>INDEX('Base de dados IHS'!$A$1:$V$676,MATCH($N75,'Base de dados IHS'!$C$1:$C$676,0),MATCH($R$1,'Base de dados IHS'!$A$1:$V$1,0))</f>
        <v>4.8264030205115655E-3</v>
      </c>
      <c r="S75" s="131">
        <f>INDEX('Base de dados IHS'!$A$1:$V$676,MATCH($N75,'Base de dados IHS'!$C$1:$C$676,0),MATCH($S$1,'Base de dados IHS'!$A$1:$V$1,0))</f>
        <v>-1.6664293117463879E-3</v>
      </c>
      <c r="T75" t="str">
        <f>IF(Q75&lt;'Cenario A ranking setor PIB'!$G$114,"N","Y")</f>
        <v>Y</v>
      </c>
    </row>
    <row r="76" spans="1:20" x14ac:dyDescent="0.45">
      <c r="A76" s="293" t="s">
        <v>104</v>
      </c>
      <c r="B76" s="297" t="s">
        <v>8</v>
      </c>
      <c r="C76" s="297" t="s">
        <v>958</v>
      </c>
      <c r="D76" s="311">
        <v>15650.162383209999</v>
      </c>
      <c r="E76" s="311">
        <v>10035.79493425</v>
      </c>
      <c r="F76" s="302">
        <f t="shared" si="6"/>
        <v>-0.3587418016175522</v>
      </c>
      <c r="G76" s="311">
        <v>12672.04459155</v>
      </c>
      <c r="H76" s="311">
        <v>10035.79493425</v>
      </c>
      <c r="I76" s="302">
        <f t="shared" si="7"/>
        <v>-0.20803664619819207</v>
      </c>
      <c r="J76" s="311">
        <v>13798.61382981</v>
      </c>
      <c r="K76" s="311">
        <v>14914.655674330001</v>
      </c>
      <c r="L76" s="311">
        <v>15741.87475553</v>
      </c>
      <c r="M76" s="312">
        <v>17772.907512099999</v>
      </c>
      <c r="N76" t="str">
        <f t="shared" si="8"/>
        <v>South KoreaManufacture of other transport equipment (C30)</v>
      </c>
      <c r="O76" s="11">
        <f>INDEX('Base de dados IHS'!$A$1:$V$676,MATCH($N76,'Base de dados IHS'!$C$1:$C$676,0),MATCH($O$1,'Base de dados IHS'!$A$1:$V$1,0))</f>
        <v>1478297.0807395</v>
      </c>
      <c r="P76" s="11">
        <f>INDEX('Base de dados IHS'!$A$1:$V$676,MATCH($N76,'Base de dados IHS'!$C$1:$C$676,0),MATCH($P$1,'Base de dados IHS'!$A$1:$V$1,0))</f>
        <v>1710728.7967964001</v>
      </c>
      <c r="Q76" s="131">
        <f>INDEX('Base de dados IHS'!$A$1:$V$676,MATCH($N76,'Base de dados IHS'!$C$1:$C$676,0),MATCH($Q$1,'Base de dados IHS'!$A$1:$V$1,0))</f>
        <v>8.5720554796813678E-3</v>
      </c>
      <c r="R76" s="131">
        <f>INDEX('Base de dados IHS'!$A$1:$V$676,MATCH($N76,'Base de dados IHS'!$C$1:$C$676,0),MATCH($R$1,'Base de dados IHS'!$A$1:$V$1,0))</f>
        <v>5.8663856907322492E-3</v>
      </c>
      <c r="S76" s="131">
        <f>INDEX('Base de dados IHS'!$A$1:$V$676,MATCH($N76,'Base de dados IHS'!$C$1:$C$676,0),MATCH($S$1,'Base de dados IHS'!$A$1:$V$1,0))</f>
        <v>-2.7056697889491187E-3</v>
      </c>
      <c r="T76" t="str">
        <f>IF(Q76&lt;'Cenario A ranking setor PIB'!$G$114,"N","Y")</f>
        <v>Y</v>
      </c>
    </row>
  </sheetData>
  <autoFilter ref="A1:T76" xr:uid="{40C3EEDB-D158-4988-9BD7-58C5BA1C4C64}">
    <filterColumn colId="19">
      <filters>
        <filter val="Y"/>
      </filters>
    </filterColumn>
    <sortState xmlns:xlrd2="http://schemas.microsoft.com/office/spreadsheetml/2017/richdata2" ref="A2:T76">
      <sortCondition descending="1" ref="S1:S76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3277-3547-4870-AA56-395B69E853EF}">
  <sheetPr filterMode="1">
    <tabColor theme="4" tint="-0.249977111117893"/>
  </sheetPr>
  <dimension ref="A1:T76"/>
  <sheetViews>
    <sheetView zoomScaleNormal="100" workbookViewId="0"/>
  </sheetViews>
  <sheetFormatPr defaultColWidth="8.86328125" defaultRowHeight="14.25" x14ac:dyDescent="0.45"/>
  <cols>
    <col min="1" max="1" width="18.1328125" customWidth="1"/>
    <col min="4" max="4" width="11" bestFit="1" customWidth="1"/>
    <col min="5" max="5" width="12.19921875" bestFit="1" customWidth="1"/>
    <col min="6" max="6" width="9" bestFit="1" customWidth="1"/>
    <col min="7" max="7" width="11" bestFit="1" customWidth="1"/>
    <col min="8" max="8" width="12.19921875" bestFit="1" customWidth="1"/>
    <col min="9" max="9" width="9" bestFit="1" customWidth="1"/>
    <col min="10" max="13" width="12.19921875" bestFit="1" customWidth="1"/>
    <col min="15" max="16" width="10.6640625" bestFit="1" customWidth="1"/>
    <col min="17" max="19" width="9" bestFit="1" customWidth="1"/>
  </cols>
  <sheetData>
    <row r="1" spans="1:20" x14ac:dyDescent="0.45">
      <c r="A1" s="292" t="s">
        <v>129</v>
      </c>
      <c r="B1" s="295" t="s">
        <v>130</v>
      </c>
      <c r="C1" s="295" t="s">
        <v>131</v>
      </c>
      <c r="D1" s="309" t="s">
        <v>132</v>
      </c>
      <c r="E1" s="309" t="s">
        <v>31</v>
      </c>
      <c r="F1" s="310" t="s">
        <v>133</v>
      </c>
      <c r="G1" s="309" t="s">
        <v>25</v>
      </c>
      <c r="H1" s="309" t="s">
        <v>31</v>
      </c>
      <c r="I1" s="310" t="s">
        <v>57</v>
      </c>
      <c r="J1" s="309" t="s">
        <v>135</v>
      </c>
      <c r="K1" s="309" t="s">
        <v>136</v>
      </c>
      <c r="L1" s="309" t="s">
        <v>137</v>
      </c>
      <c r="M1" s="310" t="s">
        <v>138</v>
      </c>
      <c r="N1" s="334" t="s">
        <v>933</v>
      </c>
      <c r="O1" s="334" t="s">
        <v>928</v>
      </c>
      <c r="P1" s="334" t="s">
        <v>929</v>
      </c>
      <c r="Q1" s="334" t="s">
        <v>930</v>
      </c>
      <c r="R1" s="334" t="s">
        <v>931</v>
      </c>
      <c r="S1" s="334" t="s">
        <v>932</v>
      </c>
      <c r="T1" s="334" t="s">
        <v>1057</v>
      </c>
    </row>
    <row r="2" spans="1:20" x14ac:dyDescent="0.45">
      <c r="A2" s="293" t="s">
        <v>121</v>
      </c>
      <c r="B2" s="297" t="s">
        <v>4</v>
      </c>
      <c r="C2" s="297" t="s">
        <v>958</v>
      </c>
      <c r="D2" s="311">
        <v>27267.70196636</v>
      </c>
      <c r="E2" s="311">
        <v>40455.800910240003</v>
      </c>
      <c r="F2" s="302">
        <f t="shared" ref="F2:F33" si="0">H2/D2-1</f>
        <v>0.48365274639388689</v>
      </c>
      <c r="G2" s="311">
        <v>22693.922026889999</v>
      </c>
      <c r="H2" s="311">
        <v>40455.800910240003</v>
      </c>
      <c r="I2" s="302">
        <f t="shared" ref="I2:I33" si="1">H2/G2-1</f>
        <v>0.78267118668619617</v>
      </c>
      <c r="J2" s="311">
        <v>44770.658665880001</v>
      </c>
      <c r="K2" s="311">
        <v>50664.668665539997</v>
      </c>
      <c r="L2" s="311">
        <v>55342.897595659997</v>
      </c>
      <c r="M2" s="312">
        <v>65248.94834974</v>
      </c>
      <c r="N2" t="str">
        <f t="shared" ref="N2:N33" si="2">A2&amp;B2</f>
        <v>SingaporeManufacture of computer, electronic and optical products (C26)</v>
      </c>
      <c r="O2" s="11">
        <f>INDEX('Base de dados IHS'!$A$1:$V$676,MATCH($N2,'Base de dados IHS'!$C$1:$C$676,0),MATCH($O$1,'Base de dados IHS'!$A$1:$V$1,0))</f>
        <v>331298.98374970001</v>
      </c>
      <c r="P2" s="11">
        <f>INDEX('Base de dados IHS'!$A$1:$V$676,MATCH($N2,'Base de dados IHS'!$C$1:$C$676,0),MATCH($P$1,'Base de dados IHS'!$A$1:$V$1,0))</f>
        <v>394237.177708</v>
      </c>
      <c r="Q2" s="131">
        <f>INDEX('Base de dados IHS'!$A$1:$V$676,MATCH($N2,'Base de dados IHS'!$C$1:$C$676,0),MATCH($Q$1,'Base de dados IHS'!$A$1:$V$1,0))</f>
        <v>6.8499823845024246E-2</v>
      </c>
      <c r="R2" s="131">
        <f>INDEX('Base de dados IHS'!$A$1:$V$676,MATCH($N2,'Base de dados IHS'!$C$1:$C$676,0),MATCH($R$1,'Base de dados IHS'!$A$1:$V$1,0))</f>
        <v>0.10261792443178568</v>
      </c>
      <c r="S2" s="131">
        <f>INDEX('Base de dados IHS'!$A$1:$V$676,MATCH($N2,'Base de dados IHS'!$C$1:$C$676,0),MATCH($S$1,'Base de dados IHS'!$A$1:$V$1,0))</f>
        <v>3.411810058676143E-2</v>
      </c>
      <c r="T2" t="str">
        <f>IF(Q2&lt;'Cenario A ranking setor PIB'!$G$128,"N","Y")</f>
        <v>Y</v>
      </c>
    </row>
    <row r="3" spans="1:20" x14ac:dyDescent="0.45">
      <c r="A3" s="293" t="s">
        <v>73</v>
      </c>
      <c r="B3" s="297" t="s">
        <v>4</v>
      </c>
      <c r="C3" s="297" t="s">
        <v>958</v>
      </c>
      <c r="D3" s="311">
        <v>55423.459750169997</v>
      </c>
      <c r="E3" s="311">
        <v>109895.22561324001</v>
      </c>
      <c r="F3" s="302">
        <f t="shared" si="0"/>
        <v>0.98282868136724244</v>
      </c>
      <c r="G3" s="311">
        <v>71635.890548680007</v>
      </c>
      <c r="H3" s="311">
        <v>109895.22561324001</v>
      </c>
      <c r="I3" s="302">
        <f t="shared" si="1"/>
        <v>0.53408053939890587</v>
      </c>
      <c r="J3" s="311">
        <v>125753.40731351</v>
      </c>
      <c r="K3" s="311">
        <v>140316.97757093</v>
      </c>
      <c r="L3" s="311">
        <v>152085.62485572</v>
      </c>
      <c r="M3" s="312">
        <v>181882.17093600999</v>
      </c>
      <c r="N3" t="str">
        <f t="shared" si="2"/>
        <v>TaiwanManufacture of computer, electronic and optical products (C26)</v>
      </c>
      <c r="O3" s="11">
        <f>INDEX('Base de dados IHS'!$A$1:$V$676,MATCH($N3,'Base de dados IHS'!$C$1:$C$676,0),MATCH($O$1,'Base de dados IHS'!$A$1:$V$1,0))</f>
        <v>546880.06131035998</v>
      </c>
      <c r="P3" s="11">
        <f>INDEX('Base de dados IHS'!$A$1:$V$676,MATCH($N3,'Base de dados IHS'!$C$1:$C$676,0),MATCH($P$1,'Base de dados IHS'!$A$1:$V$1,0))</f>
        <v>674049.24440882006</v>
      </c>
      <c r="Q3" s="131">
        <f>INDEX('Base de dados IHS'!$A$1:$V$676,MATCH($N3,'Base de dados IHS'!$C$1:$C$676,0),MATCH($Q$1,'Base de dados IHS'!$A$1:$V$1,0))</f>
        <v>0.13099013040818452</v>
      </c>
      <c r="R3" s="131">
        <f>INDEX('Base de dados IHS'!$A$1:$V$676,MATCH($N3,'Base de dados IHS'!$C$1:$C$676,0),MATCH($R$1,'Base de dados IHS'!$A$1:$V$1,0))</f>
        <v>0.16303738417454119</v>
      </c>
      <c r="S3" s="131">
        <f>INDEX('Base de dados IHS'!$A$1:$V$676,MATCH($N3,'Base de dados IHS'!$C$1:$C$676,0),MATCH($S$1,'Base de dados IHS'!$A$1:$V$1,0))</f>
        <v>3.204725376635667E-2</v>
      </c>
      <c r="T3" t="str">
        <f>IF(Q3&lt;'Cenario A ranking setor PIB'!$G$128,"N","Y")</f>
        <v>Y</v>
      </c>
    </row>
    <row r="4" spans="1:20" x14ac:dyDescent="0.45">
      <c r="A4" s="293" t="s">
        <v>104</v>
      </c>
      <c r="B4" s="297" t="s">
        <v>4</v>
      </c>
      <c r="C4" s="297" t="s">
        <v>958</v>
      </c>
      <c r="D4" s="311">
        <v>67913.171891249993</v>
      </c>
      <c r="E4" s="311">
        <v>149167.90220472999</v>
      </c>
      <c r="F4" s="302">
        <f t="shared" si="0"/>
        <v>1.1964502327117628</v>
      </c>
      <c r="G4" s="311">
        <v>87519.528005510001</v>
      </c>
      <c r="H4" s="311">
        <v>149167.90220472999</v>
      </c>
      <c r="I4" s="302">
        <f t="shared" si="1"/>
        <v>0.70439564293969648</v>
      </c>
      <c r="J4" s="311">
        <v>138540.85389957999</v>
      </c>
      <c r="K4" s="311">
        <v>156735.75917594001</v>
      </c>
      <c r="L4" s="311">
        <v>171377.49252490999</v>
      </c>
      <c r="M4" s="312">
        <v>207456.08558689</v>
      </c>
      <c r="N4" t="str">
        <f t="shared" si="2"/>
        <v>South KoreaManufacture of computer, electronic and optical products (C26)</v>
      </c>
      <c r="O4" s="11">
        <f>INDEX('Base de dados IHS'!$A$1:$V$676,MATCH($N4,'Base de dados IHS'!$C$1:$C$676,0),MATCH($O$1,'Base de dados IHS'!$A$1:$V$1,0))</f>
        <v>1478297.0807395</v>
      </c>
      <c r="P4" s="11">
        <f>INDEX('Base de dados IHS'!$A$1:$V$676,MATCH($N4,'Base de dados IHS'!$C$1:$C$676,0),MATCH($P$1,'Base de dados IHS'!$A$1:$V$1,0))</f>
        <v>1710728.7967964001</v>
      </c>
      <c r="Q4" s="131">
        <f>INDEX('Base de dados IHS'!$A$1:$V$676,MATCH($N4,'Base de dados IHS'!$C$1:$C$676,0),MATCH($Q$1,'Base de dados IHS'!$A$1:$V$1,0))</f>
        <v>5.9202936369007392E-2</v>
      </c>
      <c r="R4" s="131">
        <f>INDEX('Base de dados IHS'!$A$1:$V$676,MATCH($N4,'Base de dados IHS'!$C$1:$C$676,0),MATCH($R$1,'Base de dados IHS'!$A$1:$V$1,0))</f>
        <v>8.7195528878726766E-2</v>
      </c>
      <c r="S4" s="131">
        <f>INDEX('Base de dados IHS'!$A$1:$V$676,MATCH($N4,'Base de dados IHS'!$C$1:$C$676,0),MATCH($S$1,'Base de dados IHS'!$A$1:$V$1,0))</f>
        <v>2.7992592509719375E-2</v>
      </c>
      <c r="T4" t="str">
        <f>IF(Q4&lt;'Cenario A ranking setor PIB'!$G$128,"N","Y")</f>
        <v>Y</v>
      </c>
    </row>
    <row r="5" spans="1:20" x14ac:dyDescent="0.45">
      <c r="A5" s="293" t="s">
        <v>122</v>
      </c>
      <c r="B5" s="297" t="s">
        <v>4</v>
      </c>
      <c r="C5" s="297" t="s">
        <v>958</v>
      </c>
      <c r="D5" s="311">
        <v>5547.6442554699997</v>
      </c>
      <c r="E5" s="311">
        <v>24297.927021840002</v>
      </c>
      <c r="F5" s="302">
        <f t="shared" si="0"/>
        <v>3.3798639391633927</v>
      </c>
      <c r="G5" s="311">
        <v>12625.32486574</v>
      </c>
      <c r="H5" s="311">
        <v>24297.927021840002</v>
      </c>
      <c r="I5" s="302">
        <f t="shared" si="1"/>
        <v>0.92453875684218634</v>
      </c>
      <c r="J5" s="311">
        <v>32376.406616939999</v>
      </c>
      <c r="K5" s="311">
        <v>44471.532614410004</v>
      </c>
      <c r="L5" s="311">
        <v>55697.954316620002</v>
      </c>
      <c r="M5" s="312">
        <v>89055.145504109998</v>
      </c>
      <c r="N5" t="str">
        <f t="shared" si="2"/>
        <v>VietnamManufacture of computer, electronic and optical products (C26)</v>
      </c>
      <c r="O5" s="11">
        <f>INDEX('Base de dados IHS'!$A$1:$V$676,MATCH($N5,'Base de dados IHS'!$C$1:$C$676,0),MATCH($O$1,'Base de dados IHS'!$A$1:$V$1,0))</f>
        <v>254018.52751081</v>
      </c>
      <c r="P5" s="11">
        <f>INDEX('Base de dados IHS'!$A$1:$V$676,MATCH($N5,'Base de dados IHS'!$C$1:$C$676,0),MATCH($P$1,'Base de dados IHS'!$A$1:$V$1,0))</f>
        <v>352775.42056751001</v>
      </c>
      <c r="Q5" s="131">
        <f>INDEX('Base de dados IHS'!$A$1:$V$676,MATCH($N5,'Base de dados IHS'!$C$1:$C$676,0),MATCH($Q$1,'Base de dados IHS'!$A$1:$V$1,0))</f>
        <v>4.9702377970058567E-2</v>
      </c>
      <c r="R5" s="131">
        <f>INDEX('Base de dados IHS'!$A$1:$V$676,MATCH($N5,'Base de dados IHS'!$C$1:$C$676,0),MATCH($R$1,'Base de dados IHS'!$A$1:$V$1,0))</f>
        <v>6.8876473827887197E-2</v>
      </c>
      <c r="S5" s="131">
        <f>INDEX('Base de dados IHS'!$A$1:$V$676,MATCH($N5,'Base de dados IHS'!$C$1:$C$676,0),MATCH($S$1,'Base de dados IHS'!$A$1:$V$1,0))</f>
        <v>1.917409585782863E-2</v>
      </c>
      <c r="T5" t="str">
        <f>IF(Q5&lt;'Cenario A ranking setor PIB'!$G$128,"N","Y")</f>
        <v>Y</v>
      </c>
    </row>
    <row r="6" spans="1:20" x14ac:dyDescent="0.45">
      <c r="A6" s="293" t="s">
        <v>144</v>
      </c>
      <c r="B6" s="297" t="s">
        <v>4</v>
      </c>
      <c r="C6" s="297" t="s">
        <v>958</v>
      </c>
      <c r="D6" s="311">
        <v>6064.1063279399996</v>
      </c>
      <c r="E6" s="311">
        <v>18751.00847389</v>
      </c>
      <c r="F6" s="302">
        <f t="shared" si="0"/>
        <v>2.0921305564013406</v>
      </c>
      <c r="G6" s="311">
        <v>12159.88510946</v>
      </c>
      <c r="H6" s="311">
        <v>18751.00847389</v>
      </c>
      <c r="I6" s="302">
        <f t="shared" si="1"/>
        <v>0.54203829272221649</v>
      </c>
      <c r="J6" s="311">
        <v>26648.456799079999</v>
      </c>
      <c r="K6" s="311">
        <v>35187.963749429997</v>
      </c>
      <c r="L6" s="311">
        <v>42630.374116929997</v>
      </c>
      <c r="M6" s="312">
        <v>63476.260851649997</v>
      </c>
      <c r="N6" t="str">
        <f t="shared" si="2"/>
        <v>MalaysiaManufacture of computer, electronic and optical products (C26)</v>
      </c>
      <c r="O6" s="11">
        <f>INDEX('Base de dados IHS'!$A$1:$V$676,MATCH($N6,'Base de dados IHS'!$C$1:$C$676,0),MATCH($O$1,'Base de dados IHS'!$A$1:$V$1,0))</f>
        <v>301830.41438700003</v>
      </c>
      <c r="P6" s="11">
        <f>INDEX('Base de dados IHS'!$A$1:$V$676,MATCH($N6,'Base de dados IHS'!$C$1:$C$676,0),MATCH($P$1,'Base de dados IHS'!$A$1:$V$1,0))</f>
        <v>356559.39228144003</v>
      </c>
      <c r="Q6" s="131">
        <f>INDEX('Base de dados IHS'!$A$1:$V$676,MATCH($N6,'Base de dados IHS'!$C$1:$C$676,0),MATCH($Q$1,'Base de dados IHS'!$A$1:$V$1,0))</f>
        <v>4.0287143143463579E-2</v>
      </c>
      <c r="R6" s="131">
        <f>INDEX('Base de dados IHS'!$A$1:$V$676,MATCH($N6,'Base de dados IHS'!$C$1:$C$676,0),MATCH($R$1,'Base de dados IHS'!$A$1:$V$1,0))</f>
        <v>5.2588738032987851E-2</v>
      </c>
      <c r="S6" s="131">
        <f>INDEX('Base de dados IHS'!$A$1:$V$676,MATCH($N6,'Base de dados IHS'!$C$1:$C$676,0),MATCH($S$1,'Base de dados IHS'!$A$1:$V$1,0))</f>
        <v>1.2301594889524273E-2</v>
      </c>
      <c r="T6" t="str">
        <f>IF(Q6&lt;'Cenario A ranking setor PIB'!$G$128,"N","Y")</f>
        <v>Y</v>
      </c>
    </row>
    <row r="7" spans="1:20" x14ac:dyDescent="0.45">
      <c r="A7" s="293" t="s">
        <v>907</v>
      </c>
      <c r="B7" s="297" t="s">
        <v>4</v>
      </c>
      <c r="C7" s="297" t="s">
        <v>958</v>
      </c>
      <c r="D7" s="311">
        <v>129052.96324755</v>
      </c>
      <c r="E7" s="311">
        <v>427678.01541858999</v>
      </c>
      <c r="F7" s="302">
        <f t="shared" si="0"/>
        <v>2.3139728422834898</v>
      </c>
      <c r="G7" s="311">
        <v>223873.56843096999</v>
      </c>
      <c r="H7" s="311">
        <v>427678.01541858999</v>
      </c>
      <c r="I7" s="302">
        <f t="shared" si="1"/>
        <v>0.9103551098773941</v>
      </c>
      <c r="J7" s="311">
        <v>571331.16063174</v>
      </c>
      <c r="K7" s="311">
        <v>725237.82122854004</v>
      </c>
      <c r="L7" s="311">
        <v>848461.24970259995</v>
      </c>
      <c r="M7" s="312">
        <v>1152265.369648</v>
      </c>
      <c r="N7" t="str">
        <f t="shared" si="2"/>
        <v>ChinaManufacture of computer, electronic and optical products (C26)</v>
      </c>
      <c r="O7" s="11">
        <f>INDEX('Base de dados IHS'!$A$1:$V$676,MATCH($N7,'Base de dados IHS'!$C$1:$C$676,0),MATCH($O$1,'Base de dados IHS'!$A$1:$V$1,0))</f>
        <v>11048064.947659001</v>
      </c>
      <c r="P7" s="11">
        <f>INDEX('Base de dados IHS'!$A$1:$V$676,MATCH($N7,'Base de dados IHS'!$C$1:$C$676,0),MATCH($P$1,'Base de dados IHS'!$A$1:$V$1,0))</f>
        <v>15827750.501527</v>
      </c>
      <c r="Q7" s="131">
        <f>INDEX('Base de dados IHS'!$A$1:$V$676,MATCH($N7,'Base de dados IHS'!$C$1:$C$676,0),MATCH($Q$1,'Base de dados IHS'!$A$1:$V$1,0))</f>
        <v>2.0263599959955619E-2</v>
      </c>
      <c r="R7" s="131">
        <f>INDEX('Base de dados IHS'!$A$1:$V$676,MATCH($N7,'Base de dados IHS'!$C$1:$C$676,0),MATCH($R$1,'Base de dados IHS'!$A$1:$V$1,0))</f>
        <v>2.7020770600176523E-2</v>
      </c>
      <c r="S7" s="131">
        <f>INDEX('Base de dados IHS'!$A$1:$V$676,MATCH($N7,'Base de dados IHS'!$C$1:$C$676,0),MATCH($S$1,'Base de dados IHS'!$A$1:$V$1,0))</f>
        <v>6.7571706402209039E-3</v>
      </c>
      <c r="T7" t="str">
        <f>IF(Q7&lt;'Cenario A ranking setor PIB'!$G$128,"N","Y")</f>
        <v>Y</v>
      </c>
    </row>
    <row r="8" spans="1:20" x14ac:dyDescent="0.45">
      <c r="A8" s="293" t="s">
        <v>123</v>
      </c>
      <c r="B8" s="297" t="s">
        <v>4</v>
      </c>
      <c r="C8" s="297" t="s">
        <v>958</v>
      </c>
      <c r="D8" s="311">
        <v>9281.4246470399994</v>
      </c>
      <c r="E8" s="311">
        <v>14067.41161134</v>
      </c>
      <c r="F8" s="302">
        <f t="shared" si="0"/>
        <v>0.51565219201842361</v>
      </c>
      <c r="G8" s="311">
        <v>9240.64542239</v>
      </c>
      <c r="H8" s="311">
        <v>14067.41161134</v>
      </c>
      <c r="I8" s="302">
        <f t="shared" si="1"/>
        <v>0.52234080719673415</v>
      </c>
      <c r="J8" s="311">
        <v>17427.863951470001</v>
      </c>
      <c r="K8" s="311">
        <v>19664.890433410001</v>
      </c>
      <c r="L8" s="311">
        <v>21491.8815669</v>
      </c>
      <c r="M8" s="312">
        <v>26301.543590590001</v>
      </c>
      <c r="N8" t="str">
        <f t="shared" si="2"/>
        <v>IsraelManufacture of computer, electronic and optical products (C26)</v>
      </c>
      <c r="O8" s="11">
        <f>INDEX('Base de dados IHS'!$A$1:$V$676,MATCH($N8,'Base de dados IHS'!$C$1:$C$676,0),MATCH($O$1,'Base de dados IHS'!$A$1:$V$1,0))</f>
        <v>339252.33917334001</v>
      </c>
      <c r="P8" s="11">
        <f>INDEX('Base de dados IHS'!$A$1:$V$676,MATCH($N8,'Base de dados IHS'!$C$1:$C$676,0),MATCH($P$1,'Base de dados IHS'!$A$1:$V$1,0))</f>
        <v>430314.68651226</v>
      </c>
      <c r="Q8" s="131">
        <f>INDEX('Base de dados IHS'!$A$1:$V$676,MATCH($N8,'Base de dados IHS'!$C$1:$C$676,0),MATCH($Q$1,'Base de dados IHS'!$A$1:$V$1,0))</f>
        <v>2.7238265902327408E-2</v>
      </c>
      <c r="R8" s="131">
        <f>INDEX('Base de dados IHS'!$A$1:$V$676,MATCH($N8,'Base de dados IHS'!$C$1:$C$676,0),MATCH($R$1,'Base de dados IHS'!$A$1:$V$1,0))</f>
        <v>3.269098650886787E-2</v>
      </c>
      <c r="S8" s="131">
        <f>INDEX('Base de dados IHS'!$A$1:$V$676,MATCH($N8,'Base de dados IHS'!$C$1:$C$676,0),MATCH($S$1,'Base de dados IHS'!$A$1:$V$1,0))</f>
        <v>5.4527206065404614E-3</v>
      </c>
      <c r="T8" t="str">
        <f>IF(Q8&lt;'Cenario A ranking setor PIB'!$G$128,"N","Y")</f>
        <v>Y</v>
      </c>
    </row>
    <row r="9" spans="1:20" x14ac:dyDescent="0.45">
      <c r="A9" s="293" t="s">
        <v>72</v>
      </c>
      <c r="B9" s="297" t="s">
        <v>4</v>
      </c>
      <c r="C9" s="297" t="s">
        <v>958</v>
      </c>
      <c r="D9" s="311">
        <v>2419.1220377599998</v>
      </c>
      <c r="E9" s="311">
        <v>4736.4755097400002</v>
      </c>
      <c r="F9" s="302">
        <f t="shared" si="0"/>
        <v>0.95793161147246941</v>
      </c>
      <c r="G9" s="311">
        <v>2924.1827802600001</v>
      </c>
      <c r="H9" s="311">
        <v>4736.4755097400002</v>
      </c>
      <c r="I9" s="302">
        <f t="shared" si="1"/>
        <v>0.61976041364926671</v>
      </c>
      <c r="J9" s="311">
        <v>6375.6693218099999</v>
      </c>
      <c r="K9" s="311">
        <v>6996.0239377099997</v>
      </c>
      <c r="L9" s="311">
        <v>7462.0687580000003</v>
      </c>
      <c r="M9" s="312">
        <v>8472.0897288800006</v>
      </c>
      <c r="N9" t="str">
        <f t="shared" si="2"/>
        <v>AustriaManufacture of computer, electronic and optical products (C26)</v>
      </c>
      <c r="O9" s="11">
        <f>INDEX('Base de dados IHS'!$A$1:$V$676,MATCH($N9,'Base de dados IHS'!$C$1:$C$676,0),MATCH($O$1,'Base de dados IHS'!$A$1:$V$1,0))</f>
        <v>410010.85265116999</v>
      </c>
      <c r="P9" s="11">
        <f>INDEX('Base de dados IHS'!$A$1:$V$676,MATCH($N9,'Base de dados IHS'!$C$1:$C$676,0),MATCH($P$1,'Base de dados IHS'!$A$1:$V$1,0))</f>
        <v>432694.04992214998</v>
      </c>
      <c r="Q9" s="131">
        <f>INDEX('Base de dados IHS'!$A$1:$V$676,MATCH($N9,'Base de dados IHS'!$C$1:$C$676,0),MATCH($Q$1,'Base de dados IHS'!$A$1:$V$1,0))</f>
        <v>7.1319643403386767E-3</v>
      </c>
      <c r="R9" s="131">
        <f>INDEX('Base de dados IHS'!$A$1:$V$676,MATCH($N9,'Base de dados IHS'!$C$1:$C$676,0),MATCH($R$1,'Base de dados IHS'!$A$1:$V$1,0))</f>
        <v>1.0946477102220804E-2</v>
      </c>
      <c r="S9" s="131">
        <f>INDEX('Base de dados IHS'!$A$1:$V$676,MATCH($N9,'Base de dados IHS'!$C$1:$C$676,0),MATCH($S$1,'Base de dados IHS'!$A$1:$V$1,0))</f>
        <v>3.8145127618821276E-3</v>
      </c>
      <c r="T9" t="str">
        <f>IF(Q9&lt;'Cenario A ranking setor PIB'!$G$128,"N","Y")</f>
        <v>Y</v>
      </c>
    </row>
    <row r="10" spans="1:20" x14ac:dyDescent="0.45">
      <c r="A10" s="293" t="s">
        <v>179</v>
      </c>
      <c r="B10" s="297" t="s">
        <v>4</v>
      </c>
      <c r="C10" s="297" t="s">
        <v>958</v>
      </c>
      <c r="D10" s="311">
        <v>760575.62896687002</v>
      </c>
      <c r="E10" s="311">
        <v>1405492.6999510999</v>
      </c>
      <c r="F10" s="302">
        <f t="shared" si="0"/>
        <v>0.84793286350793906</v>
      </c>
      <c r="G10" s="311">
        <v>959653.88853768003</v>
      </c>
      <c r="H10" s="311">
        <v>1405492.6999510999</v>
      </c>
      <c r="I10" s="302">
        <f t="shared" si="1"/>
        <v>0.46458292592633454</v>
      </c>
      <c r="J10" s="311">
        <v>1675823.9072159</v>
      </c>
      <c r="K10" s="311">
        <v>1987394.9809146</v>
      </c>
      <c r="L10" s="311">
        <v>2232342.1964995</v>
      </c>
      <c r="M10" s="312">
        <v>2857064.0296294</v>
      </c>
      <c r="N10" t="str">
        <f t="shared" si="2"/>
        <v>WorldManufacture of computer, electronic and optical products (C26)</v>
      </c>
      <c r="O10" s="11">
        <f>INDEX('Base de dados IHS'!$A$1:$V$676,MATCH($N10,'Base de dados IHS'!$C$1:$C$676,0),MATCH($O$1,'Base de dados IHS'!$A$1:$V$1,0))</f>
        <v>74892116.540485993</v>
      </c>
      <c r="P10" s="11">
        <f>INDEX('Base de dados IHS'!$A$1:$V$676,MATCH($N10,'Base de dados IHS'!$C$1:$C$676,0),MATCH($P$1,'Base de dados IHS'!$A$1:$V$1,0))</f>
        <v>87029234.955234006</v>
      </c>
      <c r="Q10" s="131">
        <f>INDEX('Base de dados IHS'!$A$1:$V$676,MATCH($N10,'Base de dados IHS'!$C$1:$C$676,0),MATCH($Q$1,'Base de dados IHS'!$A$1:$V$1,0))</f>
        <v>1.2813817166175294E-2</v>
      </c>
      <c r="R10" s="131">
        <f>INDEX('Base de dados IHS'!$A$1:$V$676,MATCH($N10,'Base de dados IHS'!$C$1:$C$676,0),MATCH($R$1,'Base de dados IHS'!$A$1:$V$1,0))</f>
        <v>1.6149661670288789E-2</v>
      </c>
      <c r="S10" s="131">
        <f>INDEX('Base de dados IHS'!$A$1:$V$676,MATCH($N10,'Base de dados IHS'!$C$1:$C$676,0),MATCH($S$1,'Base de dados IHS'!$A$1:$V$1,0))</f>
        <v>3.335844504113495E-3</v>
      </c>
      <c r="T10" t="str">
        <f>IF(Q10&lt;'Cenario A ranking setor PIB'!$G$128,"N","Y")</f>
        <v>Y</v>
      </c>
    </row>
    <row r="11" spans="1:20" x14ac:dyDescent="0.45">
      <c r="A11" s="293" t="s">
        <v>113</v>
      </c>
      <c r="B11" s="297" t="s">
        <v>4</v>
      </c>
      <c r="C11" s="297" t="s">
        <v>958</v>
      </c>
      <c r="D11" s="311">
        <v>1149.1722623999999</v>
      </c>
      <c r="E11" s="311">
        <v>2690.8269118799999</v>
      </c>
      <c r="F11" s="302">
        <f t="shared" si="0"/>
        <v>1.3415348594129104</v>
      </c>
      <c r="G11" s="311">
        <v>1854.82694657</v>
      </c>
      <c r="H11" s="311">
        <v>2690.8269118799999</v>
      </c>
      <c r="I11" s="302">
        <f t="shared" si="1"/>
        <v>0.45071588314799693</v>
      </c>
      <c r="J11" s="311">
        <v>3098.82467391</v>
      </c>
      <c r="K11" s="311">
        <v>3664.1788367099998</v>
      </c>
      <c r="L11" s="311">
        <v>4089.0508717600001</v>
      </c>
      <c r="M11" s="312">
        <v>5263.58645153</v>
      </c>
      <c r="N11" t="str">
        <f t="shared" si="2"/>
        <v>HungaryManufacture of computer, electronic and optical products (C26)</v>
      </c>
      <c r="O11" s="11">
        <f>INDEX('Base de dados IHS'!$A$1:$V$676,MATCH($N11,'Base de dados IHS'!$C$1:$C$676,0),MATCH($O$1,'Base de dados IHS'!$A$1:$V$1,0))</f>
        <v>139098.07965294999</v>
      </c>
      <c r="P11" s="11">
        <f>INDEX('Base de dados IHS'!$A$1:$V$676,MATCH($N11,'Base de dados IHS'!$C$1:$C$676,0),MATCH($P$1,'Base de dados IHS'!$A$1:$V$1,0))</f>
        <v>167320.49519441</v>
      </c>
      <c r="Q11" s="131">
        <f>INDEX('Base de dados IHS'!$A$1:$V$676,MATCH($N11,'Base de dados IHS'!$C$1:$C$676,0),MATCH($Q$1,'Base de dados IHS'!$A$1:$V$1,0))</f>
        <v>1.3334669689170384E-2</v>
      </c>
      <c r="R11" s="131">
        <f>INDEX('Base de dados IHS'!$A$1:$V$676,MATCH($N11,'Base de dados IHS'!$C$1:$C$676,0),MATCH($R$1,'Base de dados IHS'!$A$1:$V$1,0))</f>
        <v>1.6081872748186187E-2</v>
      </c>
      <c r="S11" s="131">
        <f>INDEX('Base de dados IHS'!$A$1:$V$676,MATCH($N11,'Base de dados IHS'!$C$1:$C$676,0),MATCH($S$1,'Base de dados IHS'!$A$1:$V$1,0))</f>
        <v>2.7472030590158028E-3</v>
      </c>
      <c r="T11" t="str">
        <f>IF(Q11&lt;'Cenario A ranking setor PIB'!$G$128,"N","Y")</f>
        <v>Y</v>
      </c>
    </row>
    <row r="12" spans="1:20" x14ac:dyDescent="0.45">
      <c r="A12" s="293" t="s">
        <v>75</v>
      </c>
      <c r="B12" s="297" t="s">
        <v>4</v>
      </c>
      <c r="C12" s="297" t="s">
        <v>958</v>
      </c>
      <c r="D12" s="311">
        <v>11594.544183550001</v>
      </c>
      <c r="E12" s="311">
        <v>19044.063007109999</v>
      </c>
      <c r="F12" s="302">
        <f t="shared" si="0"/>
        <v>0.64250208594911018</v>
      </c>
      <c r="G12" s="311">
        <v>15493.02549536</v>
      </c>
      <c r="H12" s="311">
        <v>19044.063007109999</v>
      </c>
      <c r="I12" s="302">
        <f t="shared" si="1"/>
        <v>0.22920232802905405</v>
      </c>
      <c r="J12" s="311">
        <v>24737.59630316</v>
      </c>
      <c r="K12" s="311">
        <v>28665.21389495</v>
      </c>
      <c r="L12" s="311">
        <v>31902.364275290001</v>
      </c>
      <c r="M12" s="312">
        <v>40476.902917710002</v>
      </c>
      <c r="N12" t="str">
        <f t="shared" si="2"/>
        <v>MexicoManufacture of computer, electronic and optical products (C26)</v>
      </c>
      <c r="O12" s="11">
        <f>INDEX('Base de dados IHS'!$A$1:$V$676,MATCH($N12,'Base de dados IHS'!$C$1:$C$676,0),MATCH($O$1,'Base de dados IHS'!$A$1:$V$1,0))</f>
        <v>1239119.2771185001</v>
      </c>
      <c r="P12" s="11">
        <f>INDEX('Base de dados IHS'!$A$1:$V$676,MATCH($N12,'Base de dados IHS'!$C$1:$C$676,0),MATCH($P$1,'Base de dados IHS'!$A$1:$V$1,0))</f>
        <v>1262038.2891611001</v>
      </c>
      <c r="Q12" s="131">
        <f>INDEX('Base de dados IHS'!$A$1:$V$676,MATCH($N12,'Base de dados IHS'!$C$1:$C$676,0),MATCH($Q$1,'Base de dados IHS'!$A$1:$V$1,0))</f>
        <v>1.2503255966922032E-2</v>
      </c>
      <c r="R12" s="131">
        <f>INDEX('Base de dados IHS'!$A$1:$V$676,MATCH($N12,'Base de dados IHS'!$C$1:$C$676,0),MATCH($R$1,'Base de dados IHS'!$A$1:$V$1,0))</f>
        <v>1.5089924902174668E-2</v>
      </c>
      <c r="S12" s="131">
        <f>INDEX('Base de dados IHS'!$A$1:$V$676,MATCH($N12,'Base de dados IHS'!$C$1:$C$676,0),MATCH($S$1,'Base de dados IHS'!$A$1:$V$1,0))</f>
        <v>2.5866689352526361E-3</v>
      </c>
      <c r="T12" t="str">
        <f>IF(Q12&lt;'Cenario A ranking setor PIB'!$G$128,"N","Y")</f>
        <v>Y</v>
      </c>
    </row>
    <row r="13" spans="1:20" x14ac:dyDescent="0.45">
      <c r="A13" s="293" t="s">
        <v>111</v>
      </c>
      <c r="B13" s="297" t="s">
        <v>4</v>
      </c>
      <c r="C13" s="297" t="s">
        <v>958</v>
      </c>
      <c r="D13" s="311">
        <v>1776.6165682200001</v>
      </c>
      <c r="E13" s="311">
        <v>2995.4613811300001</v>
      </c>
      <c r="F13" s="302">
        <f t="shared" si="0"/>
        <v>0.68604832056202536</v>
      </c>
      <c r="G13" s="311">
        <v>2220.8671721300002</v>
      </c>
      <c r="H13" s="311">
        <v>2995.4613811300001</v>
      </c>
      <c r="I13" s="302">
        <f t="shared" si="1"/>
        <v>0.34878007056004989</v>
      </c>
      <c r="J13" s="311">
        <v>3633.8500632</v>
      </c>
      <c r="K13" s="311">
        <v>4395.4258507200002</v>
      </c>
      <c r="L13" s="311">
        <v>5043.5542892599997</v>
      </c>
      <c r="M13" s="312">
        <v>6654.6396500999999</v>
      </c>
      <c r="N13" t="str">
        <f t="shared" si="2"/>
        <v>Czech RepublicManufacture of computer, electronic and optical products (C26)</v>
      </c>
      <c r="O13" s="11">
        <f>INDEX('Base de dados IHS'!$A$1:$V$676,MATCH($N13,'Base de dados IHS'!$C$1:$C$676,0),MATCH($O$1,'Base de dados IHS'!$A$1:$V$1,0))</f>
        <v>220291.04889604999</v>
      </c>
      <c r="P13" s="11">
        <f>INDEX('Base de dados IHS'!$A$1:$V$676,MATCH($N13,'Base de dados IHS'!$C$1:$C$676,0),MATCH($P$1,'Base de dados IHS'!$A$1:$V$1,0))</f>
        <v>247058.51905223</v>
      </c>
      <c r="Q13" s="131">
        <f>INDEX('Base de dados IHS'!$A$1:$V$676,MATCH($N13,'Base de dados IHS'!$C$1:$C$676,0),MATCH($Q$1,'Base de dados IHS'!$A$1:$V$1,0))</f>
        <v>1.0081513448955312E-2</v>
      </c>
      <c r="R13" s="131">
        <f>INDEX('Base de dados IHS'!$A$1:$V$676,MATCH($N13,'Base de dados IHS'!$C$1:$C$676,0),MATCH($R$1,'Base de dados IHS'!$A$1:$V$1,0))</f>
        <v>1.2124501484997316E-2</v>
      </c>
      <c r="S13" s="131">
        <f>INDEX('Base de dados IHS'!$A$1:$V$676,MATCH($N13,'Base de dados IHS'!$C$1:$C$676,0),MATCH($S$1,'Base de dados IHS'!$A$1:$V$1,0))</f>
        <v>2.0429880360420035E-3</v>
      </c>
      <c r="T13" t="str">
        <f>IF(Q13&lt;'Cenario A ranking setor PIB'!$G$128,"N","Y")</f>
        <v>Y</v>
      </c>
    </row>
    <row r="14" spans="1:20" x14ac:dyDescent="0.45">
      <c r="A14" s="293" t="s">
        <v>141</v>
      </c>
      <c r="B14" s="297" t="s">
        <v>4</v>
      </c>
      <c r="C14" s="297" t="s">
        <v>958</v>
      </c>
      <c r="D14" s="311">
        <v>203128.96679034</v>
      </c>
      <c r="E14" s="311">
        <v>301596.46344760002</v>
      </c>
      <c r="F14" s="302">
        <f t="shared" si="0"/>
        <v>0.4847535938037506</v>
      </c>
      <c r="G14" s="311">
        <v>234835.43798948001</v>
      </c>
      <c r="H14" s="311">
        <v>301596.46344760002</v>
      </c>
      <c r="I14" s="302">
        <f t="shared" si="1"/>
        <v>0.28428854703399042</v>
      </c>
      <c r="J14" s="311">
        <v>343420.52250793</v>
      </c>
      <c r="K14" s="311">
        <v>396073.36384301999</v>
      </c>
      <c r="L14" s="311">
        <v>433622.75658575998</v>
      </c>
      <c r="M14" s="312">
        <v>539953.08471824997</v>
      </c>
      <c r="N14" t="str">
        <f t="shared" si="2"/>
        <v>United StatesManufacture of computer, electronic and optical products (C26)</v>
      </c>
      <c r="O14" s="11">
        <f>INDEX('Base de dados IHS'!$A$1:$V$676,MATCH($N14,'Base de dados IHS'!$C$1:$C$676,0),MATCH($O$1,'Base de dados IHS'!$A$1:$V$1,0))</f>
        <v>19553083.060252</v>
      </c>
      <c r="P14" s="11">
        <f>INDEX('Base de dados IHS'!$A$1:$V$676,MATCH($N14,'Base de dados IHS'!$C$1:$C$676,0),MATCH($P$1,'Base de dados IHS'!$A$1:$V$1,0))</f>
        <v>22265681.170655001</v>
      </c>
      <c r="Q14" s="131">
        <f>INDEX('Base de dados IHS'!$A$1:$V$676,MATCH($N14,'Base de dados IHS'!$C$1:$C$676,0),MATCH($Q$1,'Base de dados IHS'!$A$1:$V$1,0))</f>
        <v>1.2010148847925645E-2</v>
      </c>
      <c r="R14" s="131">
        <f>INDEX('Base de dados IHS'!$A$1:$V$676,MATCH($N14,'Base de dados IHS'!$C$1:$C$676,0),MATCH($R$1,'Base de dados IHS'!$A$1:$V$1,0))</f>
        <v>1.3545350853451019E-2</v>
      </c>
      <c r="S14" s="131">
        <f>INDEX('Base de dados IHS'!$A$1:$V$676,MATCH($N14,'Base de dados IHS'!$C$1:$C$676,0),MATCH($S$1,'Base de dados IHS'!$A$1:$V$1,0))</f>
        <v>1.5352020055253747E-3</v>
      </c>
      <c r="T14" t="str">
        <f>IF(Q14&lt;'Cenario A ranking setor PIB'!$G$128,"N","Y")</f>
        <v>Y</v>
      </c>
    </row>
    <row r="15" spans="1:20" x14ac:dyDescent="0.45">
      <c r="A15" s="293" t="s">
        <v>98</v>
      </c>
      <c r="B15" s="297" t="s">
        <v>4</v>
      </c>
      <c r="C15" s="297" t="s">
        <v>958</v>
      </c>
      <c r="D15" s="311">
        <v>29469.623321290001</v>
      </c>
      <c r="E15" s="311">
        <v>49875.263386960003</v>
      </c>
      <c r="F15" s="302">
        <f t="shared" si="0"/>
        <v>0.6924296195848616</v>
      </c>
      <c r="G15" s="311">
        <v>41506.92728435</v>
      </c>
      <c r="H15" s="311">
        <v>49875.263386960003</v>
      </c>
      <c r="I15" s="302">
        <f t="shared" si="1"/>
        <v>0.20161299932614485</v>
      </c>
      <c r="J15" s="311">
        <v>58177.401893620001</v>
      </c>
      <c r="K15" s="311">
        <v>63845.279901449998</v>
      </c>
      <c r="L15" s="311">
        <v>67881.864807129998</v>
      </c>
      <c r="M15" s="312">
        <v>76463.430741789998</v>
      </c>
      <c r="N15" t="str">
        <f t="shared" si="2"/>
        <v>GermanyManufacture of computer, electronic and optical products (C26)</v>
      </c>
      <c r="O15" s="11">
        <f>INDEX('Base de dados IHS'!$A$1:$V$676,MATCH($N15,'Base de dados IHS'!$C$1:$C$676,0),MATCH($O$1,'Base de dados IHS'!$A$1:$V$1,0))</f>
        <v>3626843.1759532001</v>
      </c>
      <c r="P15" s="11">
        <f>INDEX('Base de dados IHS'!$A$1:$V$676,MATCH($N15,'Base de dados IHS'!$C$1:$C$676,0),MATCH($P$1,'Base de dados IHS'!$A$1:$V$1,0))</f>
        <v>3849084.4984781002</v>
      </c>
      <c r="Q15" s="131">
        <f>INDEX('Base de dados IHS'!$A$1:$V$676,MATCH($N15,'Base de dados IHS'!$C$1:$C$676,0),MATCH($Q$1,'Base de dados IHS'!$A$1:$V$1,0))</f>
        <v>1.1444367807119542E-2</v>
      </c>
      <c r="R15" s="131">
        <f>INDEX('Base de dados IHS'!$A$1:$V$676,MATCH($N15,'Base de dados IHS'!$C$1:$C$676,0),MATCH($R$1,'Base de dados IHS'!$A$1:$V$1,0))</f>
        <v>1.2957695110793312E-2</v>
      </c>
      <c r="S15" s="131">
        <f>INDEX('Base de dados IHS'!$A$1:$V$676,MATCH($N15,'Base de dados IHS'!$C$1:$C$676,0),MATCH($S$1,'Base de dados IHS'!$A$1:$V$1,0))</f>
        <v>1.5133273036737702E-3</v>
      </c>
      <c r="T15" t="str">
        <f>IF(Q15&lt;'Cenario A ranking setor PIB'!$G$128,"N","Y")</f>
        <v>Y</v>
      </c>
    </row>
    <row r="16" spans="1:20" x14ac:dyDescent="0.45">
      <c r="A16" s="293" t="s">
        <v>76</v>
      </c>
      <c r="B16" s="297" t="s">
        <v>4</v>
      </c>
      <c r="C16" s="297" t="s">
        <v>958</v>
      </c>
      <c r="D16" s="311">
        <v>14261.167218480001</v>
      </c>
      <c r="E16" s="311">
        <v>18503.613242629999</v>
      </c>
      <c r="F16" s="302">
        <f t="shared" si="0"/>
        <v>0.29748238409633987</v>
      </c>
      <c r="G16" s="311">
        <v>14432.38321763</v>
      </c>
      <c r="H16" s="311">
        <v>18503.613242629999</v>
      </c>
      <c r="I16" s="302">
        <f t="shared" si="1"/>
        <v>0.28208993370039903</v>
      </c>
      <c r="J16" s="311">
        <v>19387.230093670001</v>
      </c>
      <c r="K16" s="311">
        <v>21033.969691189999</v>
      </c>
      <c r="L16" s="311">
        <v>22191.14734146</v>
      </c>
      <c r="M16" s="312">
        <v>25177.144381260001</v>
      </c>
      <c r="N16" t="str">
        <f t="shared" si="2"/>
        <v>United KingdomManufacture of computer, electronic and optical products (C26)</v>
      </c>
      <c r="O16" s="11">
        <f>INDEX('Base de dados IHS'!$A$1:$V$676,MATCH($N16,'Base de dados IHS'!$C$1:$C$676,0),MATCH($O$1,'Base de dados IHS'!$A$1:$V$1,0))</f>
        <v>2643868.3114987002</v>
      </c>
      <c r="P16" s="11">
        <f>INDEX('Base de dados IHS'!$A$1:$V$676,MATCH($N16,'Base de dados IHS'!$C$1:$C$676,0),MATCH($P$1,'Base de dados IHS'!$A$1:$V$1,0))</f>
        <v>2777419.6130784</v>
      </c>
      <c r="Q16" s="131">
        <f>INDEX('Base de dados IHS'!$A$1:$V$676,MATCH($N16,'Base de dados IHS'!$C$1:$C$676,0),MATCH($Q$1,'Base de dados IHS'!$A$1:$V$1,0))</f>
        <v>5.458813192344242E-3</v>
      </c>
      <c r="R16" s="131">
        <f>INDEX('Base de dados IHS'!$A$1:$V$676,MATCH($N16,'Base de dados IHS'!$C$1:$C$676,0),MATCH($R$1,'Base de dados IHS'!$A$1:$V$1,0))</f>
        <v>6.6621597815107259E-3</v>
      </c>
      <c r="S16" s="131">
        <f>INDEX('Base de dados IHS'!$A$1:$V$676,MATCH($N16,'Base de dados IHS'!$C$1:$C$676,0),MATCH($S$1,'Base de dados IHS'!$A$1:$V$1,0))</f>
        <v>1.2033465891664839E-3</v>
      </c>
      <c r="T16" t="str">
        <f>IF(Q16&lt;'Cenario A ranking setor PIB'!$G$128,"N","Y")</f>
        <v>Y</v>
      </c>
    </row>
    <row r="17" spans="1:20" x14ac:dyDescent="0.45">
      <c r="A17" s="293" t="s">
        <v>66</v>
      </c>
      <c r="B17" s="297" t="s">
        <v>4</v>
      </c>
      <c r="C17" s="297" t="s">
        <v>958</v>
      </c>
      <c r="D17" s="311">
        <v>3872.7799322400001</v>
      </c>
      <c r="E17" s="311">
        <v>5558.4911969799996</v>
      </c>
      <c r="F17" s="302">
        <f t="shared" si="0"/>
        <v>0.43527163800525859</v>
      </c>
      <c r="G17" s="311">
        <v>4309.8534437799999</v>
      </c>
      <c r="H17" s="311">
        <v>5558.4911969799996</v>
      </c>
      <c r="I17" s="302">
        <f t="shared" si="1"/>
        <v>0.28971698678107938</v>
      </c>
      <c r="J17" s="311">
        <v>6960.7280032500003</v>
      </c>
      <c r="K17" s="311">
        <v>8526.2554007700001</v>
      </c>
      <c r="L17" s="311">
        <v>9788.5947453299996</v>
      </c>
      <c r="M17" s="312">
        <v>13096.26572854</v>
      </c>
      <c r="N17" t="str">
        <f t="shared" si="2"/>
        <v>NetherlandsManufacture of computer, electronic and optical products (C26)</v>
      </c>
      <c r="O17" s="11">
        <f>INDEX('Base de dados IHS'!$A$1:$V$676,MATCH($N17,'Base de dados IHS'!$C$1:$C$676,0),MATCH($O$1,'Base de dados IHS'!$A$1:$V$1,0))</f>
        <v>829203.89806390996</v>
      </c>
      <c r="P17" s="11">
        <f>INDEX('Base de dados IHS'!$A$1:$V$676,MATCH($N17,'Base de dados IHS'!$C$1:$C$676,0),MATCH($P$1,'Base de dados IHS'!$A$1:$V$1,0))</f>
        <v>928325.09368340997</v>
      </c>
      <c r="Q17" s="131">
        <f>INDEX('Base de dados IHS'!$A$1:$V$676,MATCH($N17,'Base de dados IHS'!$C$1:$C$676,0),MATCH($Q$1,'Base de dados IHS'!$A$1:$V$1,0))</f>
        <v>5.1975798158245302E-3</v>
      </c>
      <c r="R17" s="131">
        <f>INDEX('Base de dados IHS'!$A$1:$V$676,MATCH($N17,'Base de dados IHS'!$C$1:$C$676,0),MATCH($R$1,'Base de dados IHS'!$A$1:$V$1,0))</f>
        <v>5.9876558705582415E-3</v>
      </c>
      <c r="S17" s="131">
        <f>INDEX('Base de dados IHS'!$A$1:$V$676,MATCH($N17,'Base de dados IHS'!$C$1:$C$676,0),MATCH($S$1,'Base de dados IHS'!$A$1:$V$1,0))</f>
        <v>7.9007605473371129E-4</v>
      </c>
      <c r="T17" t="str">
        <f>IF(Q17&lt;'Cenario A ranking setor PIB'!$G$128,"N","Y")</f>
        <v>Y</v>
      </c>
    </row>
    <row r="18" spans="1:20" x14ac:dyDescent="0.45">
      <c r="A18" s="293" t="s">
        <v>97</v>
      </c>
      <c r="B18" s="297" t="s">
        <v>4</v>
      </c>
      <c r="C18" s="297" t="s">
        <v>958</v>
      </c>
      <c r="D18" s="311">
        <v>9963.4782715599995</v>
      </c>
      <c r="E18" s="311">
        <v>14545.553506890001</v>
      </c>
      <c r="F18" s="302">
        <f t="shared" si="0"/>
        <v>0.45988711075018762</v>
      </c>
      <c r="G18" s="311">
        <v>12269.95116242</v>
      </c>
      <c r="H18" s="311">
        <v>14545.553506890001</v>
      </c>
      <c r="I18" s="302">
        <f t="shared" si="1"/>
        <v>0.18546140195240879</v>
      </c>
      <c r="J18" s="311">
        <v>17775.246231249999</v>
      </c>
      <c r="K18" s="311">
        <v>19362.989272210001</v>
      </c>
      <c r="L18" s="311">
        <v>20629.970979400001</v>
      </c>
      <c r="M18" s="312">
        <v>23804.411176739999</v>
      </c>
      <c r="N18" t="str">
        <f t="shared" si="2"/>
        <v>FranceManufacture of computer, electronic and optical products (C26)</v>
      </c>
      <c r="O18" s="11">
        <f>INDEX('Base de dados IHS'!$A$1:$V$676,MATCH($N18,'Base de dados IHS'!$C$1:$C$676,0),MATCH($O$1,'Base de dados IHS'!$A$1:$V$1,0))</f>
        <v>2544956.5086996001</v>
      </c>
      <c r="P18" s="11">
        <f>INDEX('Base de dados IHS'!$A$1:$V$676,MATCH($N18,'Base de dados IHS'!$C$1:$C$676,0),MATCH($P$1,'Base de dados IHS'!$A$1:$V$1,0))</f>
        <v>2682424.2983101001</v>
      </c>
      <c r="Q18" s="131">
        <f>INDEX('Base de dados IHS'!$A$1:$V$676,MATCH($N18,'Base de dados IHS'!$C$1:$C$676,0),MATCH($Q$1,'Base de dados IHS'!$A$1:$V$1,0))</f>
        <v>4.821281275525449E-3</v>
      </c>
      <c r="R18" s="131">
        <f>INDEX('Base de dados IHS'!$A$1:$V$676,MATCH($N18,'Base de dados IHS'!$C$1:$C$676,0),MATCH($R$1,'Base de dados IHS'!$A$1:$V$1,0))</f>
        <v>5.4225401686278903E-3</v>
      </c>
      <c r="S18" s="131">
        <f>INDEX('Base de dados IHS'!$A$1:$V$676,MATCH($N18,'Base de dados IHS'!$C$1:$C$676,0),MATCH($S$1,'Base de dados IHS'!$A$1:$V$1,0))</f>
        <v>6.0125889310244131E-4</v>
      </c>
      <c r="T18" t="str">
        <f>IF(Q18&lt;'Cenario A ranking setor PIB'!$G$128,"N","Y")</f>
        <v>Y</v>
      </c>
    </row>
    <row r="19" spans="1:20" x14ac:dyDescent="0.45">
      <c r="A19" s="293" t="s">
        <v>74</v>
      </c>
      <c r="B19" s="297" t="s">
        <v>4</v>
      </c>
      <c r="C19" s="297" t="s">
        <v>958</v>
      </c>
      <c r="D19" s="311">
        <v>2851.62628885</v>
      </c>
      <c r="E19" s="311">
        <v>3034.3724261299999</v>
      </c>
      <c r="F19" s="302">
        <f t="shared" si="0"/>
        <v>6.4084883069898124E-2</v>
      </c>
      <c r="G19" s="311">
        <v>2476.16868342</v>
      </c>
      <c r="H19" s="311">
        <v>3034.3724261299999</v>
      </c>
      <c r="I19" s="302">
        <f t="shared" si="1"/>
        <v>0.22543041855251467</v>
      </c>
      <c r="J19" s="311">
        <v>3568.3920878899999</v>
      </c>
      <c r="K19" s="311">
        <v>4019.4897111599998</v>
      </c>
      <c r="L19" s="311">
        <v>4346.36437811</v>
      </c>
      <c r="M19" s="312">
        <v>5158.9078843500001</v>
      </c>
      <c r="N19" t="str">
        <f t="shared" si="2"/>
        <v>SwedenManufacture of computer, electronic and optical products (C26)</v>
      </c>
      <c r="O19" s="11">
        <f>INDEX('Base de dados IHS'!$A$1:$V$676,MATCH($N19,'Base de dados IHS'!$C$1:$C$676,0),MATCH($O$1,'Base de dados IHS'!$A$1:$V$1,0))</f>
        <v>490179.06760786998</v>
      </c>
      <c r="P19" s="11">
        <f>INDEX('Base de dados IHS'!$A$1:$V$676,MATCH($N19,'Base de dados IHS'!$C$1:$C$676,0),MATCH($P$1,'Base de dados IHS'!$A$1:$V$1,0))</f>
        <v>552840.30345001002</v>
      </c>
      <c r="Q19" s="131">
        <f>INDEX('Base de dados IHS'!$A$1:$V$676,MATCH($N19,'Base de dados IHS'!$C$1:$C$676,0),MATCH($Q$1,'Base de dados IHS'!$A$1:$V$1,0))</f>
        <v>5.0515594137954256E-3</v>
      </c>
      <c r="R19" s="131">
        <f>INDEX('Base de dados IHS'!$A$1:$V$676,MATCH($N19,'Base de dados IHS'!$C$1:$C$676,0),MATCH($R$1,'Base de dados IHS'!$A$1:$V$1,0))</f>
        <v>5.4886961156665739E-3</v>
      </c>
      <c r="S19" s="131">
        <f>INDEX('Base de dados IHS'!$A$1:$V$676,MATCH($N19,'Base de dados IHS'!$C$1:$C$676,0),MATCH($S$1,'Base de dados IHS'!$A$1:$V$1,0))</f>
        <v>4.371367018711483E-4</v>
      </c>
      <c r="T19" t="str">
        <f>IF(Q19&lt;'Cenario A ranking setor PIB'!$G$128,"N","Y")</f>
        <v>Y</v>
      </c>
    </row>
    <row r="20" spans="1:20" x14ac:dyDescent="0.45">
      <c r="A20" s="293" t="s">
        <v>100</v>
      </c>
      <c r="B20" s="297" t="s">
        <v>4</v>
      </c>
      <c r="C20" s="297" t="s">
        <v>958</v>
      </c>
      <c r="D20" s="311">
        <v>71222.292034869999</v>
      </c>
      <c r="E20" s="311">
        <v>80212.438028150005</v>
      </c>
      <c r="F20" s="302">
        <f t="shared" si="0"/>
        <v>0.12622657508520629</v>
      </c>
      <c r="G20" s="311">
        <v>78584.929072889994</v>
      </c>
      <c r="H20" s="311">
        <v>80212.438028150005</v>
      </c>
      <c r="I20" s="302">
        <f t="shared" si="1"/>
        <v>2.0710191819991897E-2</v>
      </c>
      <c r="J20" s="311">
        <v>81468.084147689995</v>
      </c>
      <c r="K20" s="311">
        <v>88020.496602329993</v>
      </c>
      <c r="L20" s="311">
        <v>93295.403689810002</v>
      </c>
      <c r="M20" s="312">
        <v>105251.0500767</v>
      </c>
      <c r="N20" t="str">
        <f t="shared" si="2"/>
        <v>JapanManufacture of computer, electronic and optical products (C26)</v>
      </c>
      <c r="O20" s="11">
        <f>INDEX('Base de dados IHS'!$A$1:$V$676,MATCH($N20,'Base de dados IHS'!$C$1:$C$676,0),MATCH($O$1,'Base de dados IHS'!$A$1:$V$1,0))</f>
        <v>4983596.864085</v>
      </c>
      <c r="P20" s="11">
        <f>INDEX('Base de dados IHS'!$A$1:$V$676,MATCH($N20,'Base de dados IHS'!$C$1:$C$676,0),MATCH($P$1,'Base de dados IHS'!$A$1:$V$1,0))</f>
        <v>5032370.4042106001</v>
      </c>
      <c r="Q20" s="131">
        <f>INDEX('Base de dados IHS'!$A$1:$V$676,MATCH($N20,'Base de dados IHS'!$C$1:$C$676,0),MATCH($Q$1,'Base de dados IHS'!$A$1:$V$1,0))</f>
        <v>1.57687170965259E-2</v>
      </c>
      <c r="R20" s="131">
        <f>INDEX('Base de dados IHS'!$A$1:$V$676,MATCH($N20,'Base de dados IHS'!$C$1:$C$676,0),MATCH($R$1,'Base de dados IHS'!$A$1:$V$1,0))</f>
        <v>1.5939295319167286E-2</v>
      </c>
      <c r="S20" s="131">
        <f>INDEX('Base de dados IHS'!$A$1:$V$676,MATCH($N20,'Base de dados IHS'!$C$1:$C$676,0),MATCH($S$1,'Base de dados IHS'!$A$1:$V$1,0))</f>
        <v>1.7057822264138559E-4</v>
      </c>
      <c r="T20" t="str">
        <f>IF(Q20&lt;'Cenario A ranking setor PIB'!$G$128,"N","Y")</f>
        <v>Y</v>
      </c>
    </row>
    <row r="21" spans="1:20" x14ac:dyDescent="0.45">
      <c r="A21" s="293" t="s">
        <v>101</v>
      </c>
      <c r="B21" s="297" t="s">
        <v>4</v>
      </c>
      <c r="C21" s="297" t="s">
        <v>958</v>
      </c>
      <c r="D21" s="311">
        <v>11422.274702729999</v>
      </c>
      <c r="E21" s="311">
        <v>10264.231467330001</v>
      </c>
      <c r="F21" s="302">
        <f t="shared" si="0"/>
        <v>-0.10138464233601552</v>
      </c>
      <c r="G21" s="311">
        <v>9910.5741182500005</v>
      </c>
      <c r="H21" s="311">
        <v>10264.231467330001</v>
      </c>
      <c r="I21" s="302">
        <f t="shared" si="1"/>
        <v>3.5684849824063392E-2</v>
      </c>
      <c r="J21" s="311">
        <v>11080.64817232</v>
      </c>
      <c r="K21" s="311">
        <v>11502.28770556</v>
      </c>
      <c r="L21" s="311">
        <v>11859.908765009999</v>
      </c>
      <c r="M21" s="312">
        <v>12598.83057869</v>
      </c>
      <c r="N21" t="str">
        <f t="shared" si="2"/>
        <v>ItalyManufacture of computer, electronic and optical products (C26)</v>
      </c>
      <c r="O21" s="11">
        <f>INDEX('Base de dados IHS'!$A$1:$V$676,MATCH($N21,'Base de dados IHS'!$C$1:$C$676,0),MATCH($O$1,'Base de dados IHS'!$A$1:$V$1,0))</f>
        <v>1924364.2462229</v>
      </c>
      <c r="P21" s="11">
        <f>INDEX('Base de dados IHS'!$A$1:$V$676,MATCH($N21,'Base de dados IHS'!$C$1:$C$676,0),MATCH($P$1,'Base de dados IHS'!$A$1:$V$1,0))</f>
        <v>1980878.3634254001</v>
      </c>
      <c r="Q21" s="131">
        <f>INDEX('Base de dados IHS'!$A$1:$V$676,MATCH($N21,'Base de dados IHS'!$C$1:$C$676,0),MATCH($Q$1,'Base de dados IHS'!$A$1:$V$1,0))</f>
        <v>5.1500510559278258E-3</v>
      </c>
      <c r="R21" s="131">
        <f>INDEX('Base de dados IHS'!$A$1:$V$676,MATCH($N21,'Base de dados IHS'!$C$1:$C$676,0),MATCH($R$1,'Base de dados IHS'!$A$1:$V$1,0))</f>
        <v>5.1816566109494748E-3</v>
      </c>
      <c r="S21" s="131">
        <f>INDEX('Base de dados IHS'!$A$1:$V$676,MATCH($N21,'Base de dados IHS'!$C$1:$C$676,0),MATCH($S$1,'Base de dados IHS'!$A$1:$V$1,0))</f>
        <v>3.1605555021648954E-5</v>
      </c>
      <c r="T21" t="str">
        <f>IF(Q21&lt;'Cenario A ranking setor PIB'!$G$128,"N","Y")</f>
        <v>Y</v>
      </c>
    </row>
    <row r="22" spans="1:20" x14ac:dyDescent="0.45">
      <c r="A22" s="293" t="s">
        <v>116</v>
      </c>
      <c r="B22" s="297" t="s">
        <v>4</v>
      </c>
      <c r="C22" s="297" t="s">
        <v>958</v>
      </c>
      <c r="D22" s="311">
        <v>2043.45602435</v>
      </c>
      <c r="E22" s="311">
        <v>2458.2587658000002</v>
      </c>
      <c r="F22" s="302">
        <f t="shared" si="0"/>
        <v>0.20299078448822705</v>
      </c>
      <c r="G22" s="311">
        <v>2186.3723109699999</v>
      </c>
      <c r="H22" s="311">
        <v>2458.2587658000002</v>
      </c>
      <c r="I22" s="302">
        <f t="shared" si="1"/>
        <v>0.12435505767513844</v>
      </c>
      <c r="J22" s="311">
        <v>2908.9482057099999</v>
      </c>
      <c r="K22" s="311">
        <v>3177.7666502799998</v>
      </c>
      <c r="L22" s="311">
        <v>3364.3197970199999</v>
      </c>
      <c r="M22" s="312">
        <v>3764.19367427</v>
      </c>
      <c r="N22" t="str">
        <f t="shared" si="2"/>
        <v>DenmarkManufacture of computer, electronic and optical products (C26)</v>
      </c>
      <c r="O22" s="11">
        <f>INDEX('Base de dados IHS'!$A$1:$V$676,MATCH($N22,'Base de dados IHS'!$C$1:$C$676,0),MATCH($O$1,'Base de dados IHS'!$A$1:$V$1,0))</f>
        <v>315318.76572541997</v>
      </c>
      <c r="P22" s="11">
        <f>INDEX('Base de dados IHS'!$A$1:$V$676,MATCH($N22,'Base de dados IHS'!$C$1:$C$676,0),MATCH($P$1,'Base de dados IHS'!$A$1:$V$1,0))</f>
        <v>361238.79673869</v>
      </c>
      <c r="Q22" s="131">
        <f>INDEX('Base de dados IHS'!$A$1:$V$676,MATCH($N22,'Base de dados IHS'!$C$1:$C$676,0),MATCH($Q$1,'Base de dados IHS'!$A$1:$V$1,0))</f>
        <v>6.9338477395725186E-3</v>
      </c>
      <c r="R22" s="131">
        <f>INDEX('Base de dados IHS'!$A$1:$V$676,MATCH($N22,'Base de dados IHS'!$C$1:$C$676,0),MATCH($R$1,'Base de dados IHS'!$A$1:$V$1,0))</f>
        <v>6.8050795982975091E-3</v>
      </c>
      <c r="S22" s="131">
        <f>INDEX('Base de dados IHS'!$A$1:$V$676,MATCH($N22,'Base de dados IHS'!$C$1:$C$676,0),MATCH($S$1,'Base de dados IHS'!$A$1:$V$1,0))</f>
        <v>-1.2876814127500951E-4</v>
      </c>
      <c r="T22" t="str">
        <f>IF(Q22&lt;'Cenario A ranking setor PIB'!$G$128,"N","Y")</f>
        <v>Y</v>
      </c>
    </row>
    <row r="23" spans="1:20" x14ac:dyDescent="0.45">
      <c r="A23" s="294" t="s">
        <v>18</v>
      </c>
      <c r="B23" s="299" t="s">
        <v>4</v>
      </c>
      <c r="C23" s="299" t="s">
        <v>958</v>
      </c>
      <c r="D23" s="313">
        <v>10629.14111386</v>
      </c>
      <c r="E23" s="313">
        <v>6767.3889727200003</v>
      </c>
      <c r="F23" s="304">
        <f t="shared" si="0"/>
        <v>-0.36331742139582845</v>
      </c>
      <c r="G23" s="313">
        <v>7126.2290258499997</v>
      </c>
      <c r="H23" s="313">
        <v>6767.3889727200003</v>
      </c>
      <c r="I23" s="304">
        <f t="shared" si="1"/>
        <v>-5.0354830279566776E-2</v>
      </c>
      <c r="J23" s="313">
        <v>6776.0093472299995</v>
      </c>
      <c r="K23" s="313">
        <v>7573.9476567000002</v>
      </c>
      <c r="L23" s="313">
        <v>8229.6259501099994</v>
      </c>
      <c r="M23" s="314">
        <v>9854.2880723199996</v>
      </c>
      <c r="N23" s="6" t="str">
        <f t="shared" si="2"/>
        <v>BrazilManufacture of computer, electronic and optical products (C26)</v>
      </c>
      <c r="O23" s="354">
        <f>INDEX('Base de dados IHS'!$A$1:$V$676,MATCH($N23,'Base de dados IHS'!$C$1:$C$676,0),MATCH($O$1,'Base de dados IHS'!$A$1:$V$1,0))</f>
        <v>1855726.8356911</v>
      </c>
      <c r="P23" s="354">
        <f>INDEX('Base de dados IHS'!$A$1:$V$676,MATCH($N23,'Base de dados IHS'!$C$1:$C$676,0),MATCH($P$1,'Base de dados IHS'!$A$1:$V$1,0))</f>
        <v>1898091.4722179</v>
      </c>
      <c r="Q23" s="360">
        <f>INDEX('Base de dados IHS'!$A$1:$V$676,MATCH($N23,'Base de dados IHS'!$C$1:$C$676,0),MATCH($Q$1,'Base de dados IHS'!$A$1:$V$1,0))</f>
        <v>3.8401282391306731E-3</v>
      </c>
      <c r="R23" s="360">
        <f>INDEX('Base de dados IHS'!$A$1:$V$676,MATCH($N23,'Base de dados IHS'!$C$1:$C$676,0),MATCH($R$1,'Base de dados IHS'!$A$1:$V$1,0))</f>
        <v>3.5653650373405751E-3</v>
      </c>
      <c r="S23" s="360">
        <f>INDEX('Base de dados IHS'!$A$1:$V$676,MATCH($N23,'Base de dados IHS'!$C$1:$C$676,0),MATCH($S$1,'Base de dados IHS'!$A$1:$V$1,0))</f>
        <v>-2.74763201790098E-4</v>
      </c>
      <c r="T23" t="str">
        <f>IF(Q23&lt;'Cenario A ranking setor PIB'!$G$128,"N","Y")</f>
        <v>Y</v>
      </c>
    </row>
    <row r="24" spans="1:20" x14ac:dyDescent="0.45">
      <c r="A24" s="293" t="s">
        <v>166</v>
      </c>
      <c r="B24" s="297" t="s">
        <v>4</v>
      </c>
      <c r="C24" s="297" t="s">
        <v>958</v>
      </c>
      <c r="D24" s="311">
        <v>86.933093499999998</v>
      </c>
      <c r="E24" s="311">
        <v>112.58305885999999</v>
      </c>
      <c r="F24" s="302">
        <f t="shared" si="0"/>
        <v>0.2950540965161903</v>
      </c>
      <c r="G24" s="311">
        <v>100.8507597</v>
      </c>
      <c r="H24" s="311">
        <v>112.58305885999999</v>
      </c>
      <c r="I24" s="302">
        <f t="shared" si="1"/>
        <v>0.1163332749787902</v>
      </c>
      <c r="J24" s="311">
        <v>125.77171645</v>
      </c>
      <c r="K24" s="311">
        <v>142.34172957000001</v>
      </c>
      <c r="L24" s="311">
        <v>156.45157567999999</v>
      </c>
      <c r="M24" s="312">
        <v>195.07241589</v>
      </c>
      <c r="N24" t="str">
        <f t="shared" si="2"/>
        <v>HondurasManufacture of computer, electronic and optical products (C26)</v>
      </c>
      <c r="O24" s="11">
        <f>INDEX('Base de dados IHS'!$A$1:$V$676,MATCH($N24,'Base de dados IHS'!$C$1:$C$676,0),MATCH($O$1,'Base de dados IHS'!$A$1:$V$1,0))</f>
        <v>21608.112082880001</v>
      </c>
      <c r="P24" s="11">
        <f>INDEX('Base de dados IHS'!$A$1:$V$676,MATCH($N24,'Base de dados IHS'!$C$1:$C$676,0),MATCH($P$1,'Base de dados IHS'!$A$1:$V$1,0))</f>
        <v>25703.55773198</v>
      </c>
      <c r="Q24" s="131">
        <f>INDEX('Base de dados IHS'!$A$1:$V$676,MATCH($N24,'Base de dados IHS'!$C$1:$C$676,0),MATCH($Q$1,'Base de dados IHS'!$A$1:$V$1,0))</f>
        <v>4.6672638180132149E-3</v>
      </c>
      <c r="R24" s="131">
        <f>INDEX('Base de dados IHS'!$A$1:$V$676,MATCH($N24,'Base de dados IHS'!$C$1:$C$676,0),MATCH($R$1,'Base de dados IHS'!$A$1:$V$1,0))</f>
        <v>4.3800574237209877E-3</v>
      </c>
      <c r="S24" s="131">
        <f>INDEX('Base de dados IHS'!$A$1:$V$676,MATCH($N24,'Base de dados IHS'!$C$1:$C$676,0),MATCH($S$1,'Base de dados IHS'!$A$1:$V$1,0))</f>
        <v>-2.8720639429222726E-4</v>
      </c>
      <c r="T24" t="str">
        <f>IF(Q24&lt;'Cenario A ranking setor PIB'!$G$128,"N","Y")</f>
        <v>Y</v>
      </c>
    </row>
    <row r="25" spans="1:20" x14ac:dyDescent="0.45">
      <c r="A25" s="293" t="s">
        <v>109</v>
      </c>
      <c r="B25" s="297" t="s">
        <v>4</v>
      </c>
      <c r="C25" s="297" t="s">
        <v>958</v>
      </c>
      <c r="D25" s="311">
        <v>11608.68236133</v>
      </c>
      <c r="E25" s="311">
        <v>10267.58433272</v>
      </c>
      <c r="F25" s="302">
        <f t="shared" si="0"/>
        <v>-0.11552543061022746</v>
      </c>
      <c r="G25" s="311">
        <v>9748.3036688400007</v>
      </c>
      <c r="H25" s="311">
        <v>10267.58433272</v>
      </c>
      <c r="I25" s="302">
        <f t="shared" si="1"/>
        <v>5.3268823122514686E-2</v>
      </c>
      <c r="J25" s="311">
        <v>9579.7435086700007</v>
      </c>
      <c r="K25" s="311">
        <v>11315.31878105</v>
      </c>
      <c r="L25" s="311">
        <v>12775.50707077</v>
      </c>
      <c r="M25" s="312">
        <v>16712.445791819999</v>
      </c>
      <c r="N25" t="str">
        <f t="shared" si="2"/>
        <v>ThailandManufacture of computer, electronic and optical products (C26)</v>
      </c>
      <c r="O25" s="11">
        <f>INDEX('Base de dados IHS'!$A$1:$V$676,MATCH($N25,'Base de dados IHS'!$C$1:$C$676,0),MATCH($O$1,'Base de dados IHS'!$A$1:$V$1,0))</f>
        <v>474324.68093352998</v>
      </c>
      <c r="P25" s="11">
        <f>INDEX('Base de dados IHS'!$A$1:$V$676,MATCH($N25,'Base de dados IHS'!$C$1:$C$676,0),MATCH($P$1,'Base de dados IHS'!$A$1:$V$1,0))</f>
        <v>518585.14704719</v>
      </c>
      <c r="Q25" s="131">
        <f>INDEX('Base de dados IHS'!$A$1:$V$676,MATCH($N25,'Base de dados IHS'!$C$1:$C$676,0),MATCH($Q$1,'Base de dados IHS'!$A$1:$V$1,0))</f>
        <v>2.0551963793353799E-2</v>
      </c>
      <c r="R25" s="131">
        <f>INDEX('Base de dados IHS'!$A$1:$V$676,MATCH($N25,'Base de dados IHS'!$C$1:$C$676,0),MATCH($R$1,'Base de dados IHS'!$A$1:$V$1,0))</f>
        <v>1.9799225626077707E-2</v>
      </c>
      <c r="S25" s="131">
        <f>INDEX('Base de dados IHS'!$A$1:$V$676,MATCH($N25,'Base de dados IHS'!$C$1:$C$676,0),MATCH($S$1,'Base de dados IHS'!$A$1:$V$1,0))</f>
        <v>-7.5273816727609161E-4</v>
      </c>
      <c r="T25" t="str">
        <f>IF(Q25&lt;'Cenario A ranking setor PIB'!$G$128,"N","Y")</f>
        <v>Y</v>
      </c>
    </row>
    <row r="26" spans="1:20" x14ac:dyDescent="0.45">
      <c r="A26" s="293" t="s">
        <v>67</v>
      </c>
      <c r="B26" s="297" t="s">
        <v>4</v>
      </c>
      <c r="C26" s="297" t="s">
        <v>958</v>
      </c>
      <c r="D26" s="311">
        <v>21146.688528449999</v>
      </c>
      <c r="E26" s="311">
        <v>25389.88678185</v>
      </c>
      <c r="F26" s="302">
        <f t="shared" si="0"/>
        <v>0.20065544766932919</v>
      </c>
      <c r="G26" s="311">
        <v>23405.878196019999</v>
      </c>
      <c r="H26" s="311">
        <v>25389.88678185</v>
      </c>
      <c r="I26" s="302">
        <f t="shared" si="1"/>
        <v>8.4765398213828558E-2</v>
      </c>
      <c r="J26" s="311">
        <v>29301.684671769999</v>
      </c>
      <c r="K26" s="311">
        <v>31076.78595094</v>
      </c>
      <c r="L26" s="311">
        <v>32440.421266360001</v>
      </c>
      <c r="M26" s="312">
        <v>35461.465337709997</v>
      </c>
      <c r="N26" t="str">
        <f t="shared" si="2"/>
        <v>SwitzerlandManufacture of computer, electronic and optical products (C26)</v>
      </c>
      <c r="O26" s="11">
        <f>INDEX('Base de dados IHS'!$A$1:$V$676,MATCH($N26,'Base de dados IHS'!$C$1:$C$676,0),MATCH($O$1,'Base de dados IHS'!$A$1:$V$1,0))</f>
        <v>669989.49931316997</v>
      </c>
      <c r="P26" s="11">
        <f>INDEX('Base de dados IHS'!$A$1:$V$676,MATCH($N26,'Base de dados IHS'!$C$1:$C$676,0),MATCH($P$1,'Base de dados IHS'!$A$1:$V$1,0))</f>
        <v>743458.79269773001</v>
      </c>
      <c r="Q26" s="131">
        <f>INDEX('Base de dados IHS'!$A$1:$V$676,MATCH($N26,'Base de dados IHS'!$C$1:$C$676,0),MATCH($Q$1,'Base de dados IHS'!$A$1:$V$1,0))</f>
        <v>3.493469408104783E-2</v>
      </c>
      <c r="R26" s="131">
        <f>INDEX('Base de dados IHS'!$A$1:$V$676,MATCH($N26,'Base de dados IHS'!$C$1:$C$676,0),MATCH($R$1,'Base de dados IHS'!$A$1:$V$1,0))</f>
        <v>3.415103436966524E-2</v>
      </c>
      <c r="S26" s="131">
        <f>INDEX('Base de dados IHS'!$A$1:$V$676,MATCH($N26,'Base de dados IHS'!$C$1:$C$676,0),MATCH($S$1,'Base de dados IHS'!$A$1:$V$1,0))</f>
        <v>-7.8365971138259077E-4</v>
      </c>
      <c r="T26" t="str">
        <f>IF(Q26&lt;'Cenario A ranking setor PIB'!$G$128,"N","Y")</f>
        <v>Y</v>
      </c>
    </row>
    <row r="27" spans="1:20" x14ac:dyDescent="0.45">
      <c r="A27" s="293" t="s">
        <v>126</v>
      </c>
      <c r="B27" s="297" t="s">
        <v>4</v>
      </c>
      <c r="C27" s="297" t="s">
        <v>958</v>
      </c>
      <c r="D27" s="311">
        <v>6901.70212601</v>
      </c>
      <c r="E27" s="311">
        <v>3963.3547867299999</v>
      </c>
      <c r="F27" s="302">
        <f t="shared" si="0"/>
        <v>-0.42574241623764664</v>
      </c>
      <c r="G27" s="311">
        <v>3833.5106822100001</v>
      </c>
      <c r="H27" s="311">
        <v>3963.3547867299999</v>
      </c>
      <c r="I27" s="302">
        <f t="shared" si="1"/>
        <v>3.3870808061801316E-2</v>
      </c>
      <c r="J27" s="311">
        <v>4301.0429006300001</v>
      </c>
      <c r="K27" s="311">
        <v>4925.8755147100001</v>
      </c>
      <c r="L27" s="311">
        <v>5402.0247448999999</v>
      </c>
      <c r="M27" s="312">
        <v>6633.5207441700004</v>
      </c>
      <c r="N27" t="str">
        <f t="shared" si="2"/>
        <v>FinlandManufacture of computer, electronic and optical products (C26)</v>
      </c>
      <c r="O27" s="11">
        <f>INDEX('Base de dados IHS'!$A$1:$V$676,MATCH($N27,'Base de dados IHS'!$C$1:$C$676,0),MATCH($O$1,'Base de dados IHS'!$A$1:$V$1,0))</f>
        <v>247207.29862345001</v>
      </c>
      <c r="P27" s="11">
        <f>INDEX('Base de dados IHS'!$A$1:$V$676,MATCH($N27,'Base de dados IHS'!$C$1:$C$676,0),MATCH($P$1,'Base de dados IHS'!$A$1:$V$1,0))</f>
        <v>270499.52733732999</v>
      </c>
      <c r="Q27" s="131">
        <f>INDEX('Base de dados IHS'!$A$1:$V$676,MATCH($N27,'Base de dados IHS'!$C$1:$C$676,0),MATCH($Q$1,'Base de dados IHS'!$A$1:$V$1,0))</f>
        <v>1.5507271442051001E-2</v>
      </c>
      <c r="R27" s="131">
        <f>INDEX('Base de dados IHS'!$A$1:$V$676,MATCH($N27,'Base de dados IHS'!$C$1:$C$676,0),MATCH($R$1,'Base de dados IHS'!$A$1:$V$1,0))</f>
        <v>1.4651984148524764E-2</v>
      </c>
      <c r="S27" s="131">
        <f>INDEX('Base de dados IHS'!$A$1:$V$676,MATCH($N27,'Base de dados IHS'!$C$1:$C$676,0),MATCH($S$1,'Base de dados IHS'!$A$1:$V$1,0))</f>
        <v>-8.5528729352623775E-4</v>
      </c>
      <c r="T27" t="str">
        <f>IF(Q27&lt;'Cenario A ranking setor PIB'!$G$128,"N","Y")</f>
        <v>Y</v>
      </c>
    </row>
    <row r="28" spans="1:20" hidden="1" x14ac:dyDescent="0.45">
      <c r="A28" s="293" t="s">
        <v>112</v>
      </c>
      <c r="B28" s="297" t="s">
        <v>4</v>
      </c>
      <c r="C28" s="297" t="s">
        <v>958</v>
      </c>
      <c r="D28" s="311">
        <v>1963.4630027799999</v>
      </c>
      <c r="E28" s="311">
        <v>3058.4049192100001</v>
      </c>
      <c r="F28" s="302">
        <f t="shared" si="0"/>
        <v>0.55765854252395353</v>
      </c>
      <c r="G28" s="311">
        <v>1526.21263593</v>
      </c>
      <c r="H28" s="311">
        <v>3058.4049192100001</v>
      </c>
      <c r="I28" s="302">
        <f t="shared" si="1"/>
        <v>1.0039179647771403</v>
      </c>
      <c r="J28" s="311">
        <v>3663.94357077</v>
      </c>
      <c r="K28" s="311">
        <v>4483.8057586200002</v>
      </c>
      <c r="L28" s="311">
        <v>5130.3067205400002</v>
      </c>
      <c r="M28" s="312">
        <v>6602.0939774600001</v>
      </c>
      <c r="N28" t="str">
        <f t="shared" si="2"/>
        <v>PolandManufacture of computer, electronic and optical products (C26)</v>
      </c>
      <c r="O28" s="11">
        <f>INDEX('Base de dados IHS'!$A$1:$V$676,MATCH($N28,'Base de dados IHS'!$C$1:$C$676,0),MATCH($O$1,'Base de dados IHS'!$A$1:$V$1,0))</f>
        <v>496555.53410177003</v>
      </c>
      <c r="P28" s="11">
        <f>INDEX('Base de dados IHS'!$A$1:$V$676,MATCH($N28,'Base de dados IHS'!$C$1:$C$676,0),MATCH($P$1,'Base de dados IHS'!$A$1:$V$1,0))</f>
        <v>623108.57565016998</v>
      </c>
      <c r="Q28" s="131">
        <f>INDEX('Base de dados IHS'!$A$1:$V$676,MATCH($N28,'Base de dados IHS'!$C$1:$C$676,0),MATCH($Q$1,'Base de dados IHS'!$A$1:$V$1,0))</f>
        <v>3.0735990863354264E-3</v>
      </c>
      <c r="R28" s="131">
        <f>INDEX('Base de dados IHS'!$A$1:$V$676,MATCH($N28,'Base de dados IHS'!$C$1:$C$676,0),MATCH($R$1,'Base de dados IHS'!$A$1:$V$1,0))</f>
        <v>4.9083017610835637E-3</v>
      </c>
      <c r="S28" s="131">
        <f>INDEX('Base de dados IHS'!$A$1:$V$676,MATCH($N28,'Base de dados IHS'!$C$1:$C$676,0),MATCH($S$1,'Base de dados IHS'!$A$1:$V$1,0))</f>
        <v>1.8347026747481373E-3</v>
      </c>
      <c r="T28" t="str">
        <f>IF(Q28&lt;'Cenario A ranking setor PIB'!$G$128,"N","Y")</f>
        <v>N</v>
      </c>
    </row>
    <row r="29" spans="1:20" hidden="1" x14ac:dyDescent="0.45">
      <c r="A29" s="293" t="s">
        <v>160</v>
      </c>
      <c r="B29" s="297" t="s">
        <v>4</v>
      </c>
      <c r="C29" s="297" t="s">
        <v>958</v>
      </c>
      <c r="D29" s="311">
        <v>106.65045666</v>
      </c>
      <c r="E29" s="311">
        <v>345.7287139</v>
      </c>
      <c r="F29" s="302">
        <f t="shared" si="0"/>
        <v>2.2416993300101637</v>
      </c>
      <c r="G29" s="311">
        <v>195.43800680000001</v>
      </c>
      <c r="H29" s="311">
        <v>345.7287139</v>
      </c>
      <c r="I29" s="302">
        <f t="shared" si="1"/>
        <v>0.76899426862145015</v>
      </c>
      <c r="J29" s="311">
        <v>437.38697869999999</v>
      </c>
      <c r="K29" s="311">
        <v>499.09029484000001</v>
      </c>
      <c r="L29" s="311">
        <v>538.52402375999998</v>
      </c>
      <c r="M29" s="312">
        <v>624.13729325999998</v>
      </c>
      <c r="N29" t="str">
        <f t="shared" si="2"/>
        <v>BulgariaManufacture of computer, electronic and optical products (C26)</v>
      </c>
      <c r="O29" s="11">
        <f>INDEX('Base de dados IHS'!$A$1:$V$676,MATCH($N29,'Base de dados IHS'!$C$1:$C$676,0),MATCH($O$1,'Base de dados IHS'!$A$1:$V$1,0))</f>
        <v>60854.013563</v>
      </c>
      <c r="P29" s="11">
        <f>INDEX('Base de dados IHS'!$A$1:$V$676,MATCH($N29,'Base de dados IHS'!$C$1:$C$676,0),MATCH($P$1,'Base de dados IHS'!$A$1:$V$1,0))</f>
        <v>70836.911882080007</v>
      </c>
      <c r="Q29" s="131">
        <f>INDEX('Base de dados IHS'!$A$1:$V$676,MATCH($N29,'Base de dados IHS'!$C$1:$C$676,0),MATCH($Q$1,'Base de dados IHS'!$A$1:$V$1,0))</f>
        <v>3.21158778784032E-3</v>
      </c>
      <c r="R29" s="131">
        <f>INDEX('Base de dados IHS'!$A$1:$V$676,MATCH($N29,'Base de dados IHS'!$C$1:$C$676,0),MATCH($R$1,'Base de dados IHS'!$A$1:$V$1,0))</f>
        <v>4.8806293881856928E-3</v>
      </c>
      <c r="S29" s="131">
        <f>INDEX('Base de dados IHS'!$A$1:$V$676,MATCH($N29,'Base de dados IHS'!$C$1:$C$676,0),MATCH($S$1,'Base de dados IHS'!$A$1:$V$1,0))</f>
        <v>1.6690416003453728E-3</v>
      </c>
      <c r="T29" t="str">
        <f>IF(Q29&lt;'Cenario A ranking setor PIB'!$G$128,"N","Y")</f>
        <v>N</v>
      </c>
    </row>
    <row r="30" spans="1:20" x14ac:dyDescent="0.45">
      <c r="A30" s="293" t="s">
        <v>106</v>
      </c>
      <c r="B30" s="297" t="s">
        <v>4</v>
      </c>
      <c r="C30" s="297" t="s">
        <v>958</v>
      </c>
      <c r="D30" s="311">
        <v>9095.8633059000003</v>
      </c>
      <c r="E30" s="311">
        <v>7999.0091476699999</v>
      </c>
      <c r="F30" s="302">
        <f t="shared" si="0"/>
        <v>-0.12058824119735068</v>
      </c>
      <c r="G30" s="311">
        <v>10200.11013879</v>
      </c>
      <c r="H30" s="311">
        <v>7999.0091476699999</v>
      </c>
      <c r="I30" s="302">
        <f t="shared" si="1"/>
        <v>-0.21579188471205157</v>
      </c>
      <c r="J30" s="311">
        <v>25445.693496290001</v>
      </c>
      <c r="K30" s="311">
        <v>30522.33645902</v>
      </c>
      <c r="L30" s="311">
        <v>32949.958900689999</v>
      </c>
      <c r="M30" s="312">
        <v>38388.935562060004</v>
      </c>
      <c r="N30" t="str">
        <f t="shared" si="2"/>
        <v>RussiaManufacture of computer, electronic and optical products (C26)</v>
      </c>
      <c r="O30" s="11">
        <f>INDEX('Base de dados IHS'!$A$1:$V$676,MATCH($N30,'Base de dados IHS'!$C$1:$C$676,0),MATCH($O$1,'Base de dados IHS'!$A$1:$V$1,0))</f>
        <v>1579786.0768998</v>
      </c>
      <c r="P30" s="11">
        <f>INDEX('Base de dados IHS'!$A$1:$V$676,MATCH($N30,'Base de dados IHS'!$C$1:$C$676,0),MATCH($P$1,'Base de dados IHS'!$A$1:$V$1,0))</f>
        <v>1741025.8573970001</v>
      </c>
      <c r="Q30" s="131">
        <f>INDEX('Base de dados IHS'!$A$1:$V$676,MATCH($N30,'Base de dados IHS'!$C$1:$C$676,0),MATCH($Q$1,'Base de dados IHS'!$A$1:$V$1,0))</f>
        <v>6.4566401033277088E-3</v>
      </c>
      <c r="R30" s="131">
        <f>INDEX('Base de dados IHS'!$A$1:$V$676,MATCH($N30,'Base de dados IHS'!$C$1:$C$676,0),MATCH($R$1,'Base de dados IHS'!$A$1:$V$1,0))</f>
        <v>4.5944229453486023E-3</v>
      </c>
      <c r="S30" s="131">
        <f>INDEX('Base de dados IHS'!$A$1:$V$676,MATCH($N30,'Base de dados IHS'!$C$1:$C$676,0),MATCH($S$1,'Base de dados IHS'!$A$1:$V$1,0))</f>
        <v>-1.8622171579791066E-3</v>
      </c>
      <c r="T30" t="str">
        <f>IF(Q30&lt;'Cenario A ranking setor PIB'!$G$128,"N","Y")</f>
        <v>Y</v>
      </c>
    </row>
    <row r="31" spans="1:20" x14ac:dyDescent="0.45">
      <c r="A31" s="293" t="s">
        <v>127</v>
      </c>
      <c r="B31" s="297" t="s">
        <v>4</v>
      </c>
      <c r="C31" s="297" t="s">
        <v>958</v>
      </c>
      <c r="D31" s="311">
        <v>4900.2607006300004</v>
      </c>
      <c r="E31" s="311">
        <v>15538.13594129</v>
      </c>
      <c r="F31" s="302">
        <f t="shared" si="0"/>
        <v>2.1708794471470356</v>
      </c>
      <c r="G31" s="311">
        <v>10591.016528820001</v>
      </c>
      <c r="H31" s="311">
        <v>15538.13594129</v>
      </c>
      <c r="I31" s="302">
        <f t="shared" si="1"/>
        <v>0.46710524896340466</v>
      </c>
      <c r="J31" s="311">
        <v>18491.255807109999</v>
      </c>
      <c r="K31" s="311">
        <v>20955.083997549998</v>
      </c>
      <c r="L31" s="311">
        <v>22835.687021239999</v>
      </c>
      <c r="M31" s="312">
        <v>27671.188771500001</v>
      </c>
      <c r="N31" t="str">
        <f t="shared" si="2"/>
        <v>IrelandManufacture of computer, electronic and optical products (C26)</v>
      </c>
      <c r="O31" s="11">
        <f>INDEX('Base de dados IHS'!$A$1:$V$676,MATCH($N31,'Base de dados IHS'!$C$1:$C$676,0),MATCH($O$1,'Base de dados IHS'!$A$1:$V$1,0))</f>
        <v>308812.05776281998</v>
      </c>
      <c r="P31" s="11">
        <f>INDEX('Base de dados IHS'!$A$1:$V$676,MATCH($N31,'Base de dados IHS'!$C$1:$C$676,0),MATCH($P$1,'Base de dados IHS'!$A$1:$V$1,0))</f>
        <v>483748.84960921999</v>
      </c>
      <c r="Q31" s="131">
        <f>INDEX('Base de dados IHS'!$A$1:$V$676,MATCH($N31,'Base de dados IHS'!$C$1:$C$676,0),MATCH($Q$1,'Base de dados IHS'!$A$1:$V$1,0))</f>
        <v>3.4295994157567268E-2</v>
      </c>
      <c r="R31" s="131">
        <f>INDEX('Base de dados IHS'!$A$1:$V$676,MATCH($N31,'Base de dados IHS'!$C$1:$C$676,0),MATCH($R$1,'Base de dados IHS'!$A$1:$V$1,0))</f>
        <v>3.2120254040587284E-2</v>
      </c>
      <c r="S31" s="131">
        <f>INDEX('Base de dados IHS'!$A$1:$V$676,MATCH($N31,'Base de dados IHS'!$C$1:$C$676,0),MATCH($S$1,'Base de dados IHS'!$A$1:$V$1,0))</f>
        <v>-2.1757401169799837E-3</v>
      </c>
      <c r="T31" t="str">
        <f>IF(Q31&lt;'Cenario A ranking setor PIB'!$G$128,"N","Y")</f>
        <v>Y</v>
      </c>
    </row>
    <row r="32" spans="1:20" x14ac:dyDescent="0.45">
      <c r="A32" s="293" t="s">
        <v>99</v>
      </c>
      <c r="B32" s="297" t="s">
        <v>4</v>
      </c>
      <c r="C32" s="297" t="s">
        <v>958</v>
      </c>
      <c r="D32" s="311">
        <v>4396.1396463700003</v>
      </c>
      <c r="E32" s="311">
        <v>3391.5889187500002</v>
      </c>
      <c r="F32" s="302">
        <f t="shared" si="0"/>
        <v>-0.22850746528251942</v>
      </c>
      <c r="G32" s="311">
        <v>5121.6321165099998</v>
      </c>
      <c r="H32" s="311">
        <v>3391.5889187500002</v>
      </c>
      <c r="I32" s="302">
        <f t="shared" si="1"/>
        <v>-0.33779138337231684</v>
      </c>
      <c r="J32" s="311">
        <v>4514.1717363799999</v>
      </c>
      <c r="K32" s="311">
        <v>5554.2648827100002</v>
      </c>
      <c r="L32" s="311">
        <v>6432.6849535800002</v>
      </c>
      <c r="M32" s="312">
        <v>8805.7500218500008</v>
      </c>
      <c r="N32" t="str">
        <f t="shared" si="2"/>
        <v>IndonesiaManufacture of computer, electronic and optical products (C26)</v>
      </c>
      <c r="O32" s="11">
        <f>INDEX('Base de dados IHS'!$A$1:$V$676,MATCH($N32,'Base de dados IHS'!$C$1:$C$676,0),MATCH($O$1,'Base de dados IHS'!$A$1:$V$1,0))</f>
        <v>917924.88667253999</v>
      </c>
      <c r="P32" s="11">
        <f>INDEX('Base de dados IHS'!$A$1:$V$676,MATCH($N32,'Base de dados IHS'!$C$1:$C$676,0),MATCH($P$1,'Base de dados IHS'!$A$1:$V$1,0))</f>
        <v>1136354.4627425</v>
      </c>
      <c r="Q32" s="131">
        <f>INDEX('Base de dados IHS'!$A$1:$V$676,MATCH($N32,'Base de dados IHS'!$C$1:$C$676,0),MATCH($Q$1,'Base de dados IHS'!$A$1:$V$1,0))</f>
        <v>5.5795764891785615E-3</v>
      </c>
      <c r="R32" s="131">
        <f>INDEX('Base de dados IHS'!$A$1:$V$676,MATCH($N32,'Base de dados IHS'!$C$1:$C$676,0),MATCH($R$1,'Base de dados IHS'!$A$1:$V$1,0))</f>
        <v>2.9846223427192546E-3</v>
      </c>
      <c r="S32" s="131">
        <f>INDEX('Base de dados IHS'!$A$1:$V$676,MATCH($N32,'Base de dados IHS'!$C$1:$C$676,0),MATCH($S$1,'Base de dados IHS'!$A$1:$V$1,0))</f>
        <v>-2.5949541464593069E-3</v>
      </c>
      <c r="T32" t="str">
        <f>IF(Q32&lt;'Cenario A ranking setor PIB'!$G$128,"N","Y")</f>
        <v>Y</v>
      </c>
    </row>
    <row r="33" spans="1:20" hidden="1" x14ac:dyDescent="0.45">
      <c r="A33" s="293" t="s">
        <v>63</v>
      </c>
      <c r="B33" s="297" t="s">
        <v>4</v>
      </c>
      <c r="C33" s="297" t="s">
        <v>958</v>
      </c>
      <c r="D33" s="311">
        <v>6513.6135846999996</v>
      </c>
      <c r="E33" s="311">
        <v>6210.2047843999999</v>
      </c>
      <c r="F33" s="302">
        <f t="shared" si="0"/>
        <v>-4.658071842221112E-2</v>
      </c>
      <c r="G33" s="311">
        <v>4985.1353542699999</v>
      </c>
      <c r="H33" s="311">
        <v>6210.2047843999999</v>
      </c>
      <c r="I33" s="302">
        <f t="shared" si="1"/>
        <v>0.2457444669141573</v>
      </c>
      <c r="J33" s="311">
        <v>6599.2901771799998</v>
      </c>
      <c r="K33" s="311">
        <v>7131.8148755900002</v>
      </c>
      <c r="L33" s="311">
        <v>7565.20539792</v>
      </c>
      <c r="M33" s="312">
        <v>8750.8185587200005</v>
      </c>
      <c r="N33" t="str">
        <f t="shared" si="2"/>
        <v>CanadaManufacture of computer, electronic and optical products (C26)</v>
      </c>
      <c r="O33" s="11">
        <f>INDEX('Base de dados IHS'!$A$1:$V$676,MATCH($N33,'Base de dados IHS'!$C$1:$C$676,0),MATCH($O$1,'Base de dados IHS'!$A$1:$V$1,0))</f>
        <v>1599989.9756132001</v>
      </c>
      <c r="P33" s="11">
        <f>INDEX('Base de dados IHS'!$A$1:$V$676,MATCH($N33,'Base de dados IHS'!$C$1:$C$676,0),MATCH($P$1,'Base de dados IHS'!$A$1:$V$1,0))</f>
        <v>1743385.5162593001</v>
      </c>
      <c r="Q33" s="131">
        <f>INDEX('Base de dados IHS'!$A$1:$V$676,MATCH($N33,'Base de dados IHS'!$C$1:$C$676,0),MATCH($Q$1,'Base de dados IHS'!$A$1:$V$1,0))</f>
        <v>3.1157291172148965E-3</v>
      </c>
      <c r="R33" s="131">
        <f>INDEX('Base de dados IHS'!$A$1:$V$676,MATCH($N33,'Base de dados IHS'!$C$1:$C$676,0),MATCH($R$1,'Base de dados IHS'!$A$1:$V$1,0))</f>
        <v>3.5621523331941765E-3</v>
      </c>
      <c r="S33" s="131">
        <f>INDEX('Base de dados IHS'!$A$1:$V$676,MATCH($N33,'Base de dados IHS'!$C$1:$C$676,0),MATCH($S$1,'Base de dados IHS'!$A$1:$V$1,0))</f>
        <v>4.4642321597928008E-4</v>
      </c>
      <c r="T33" t="str">
        <f>IF(Q33&lt;'Cenario A ranking setor PIB'!$G$128,"N","Y")</f>
        <v>N</v>
      </c>
    </row>
    <row r="34" spans="1:20" hidden="1" x14ac:dyDescent="0.45">
      <c r="A34" s="293" t="s">
        <v>162</v>
      </c>
      <c r="B34" s="297" t="s">
        <v>4</v>
      </c>
      <c r="C34" s="297" t="s">
        <v>958</v>
      </c>
      <c r="D34" s="311">
        <v>341.89957530999999</v>
      </c>
      <c r="E34" s="311">
        <v>891.68853798999999</v>
      </c>
      <c r="F34" s="302">
        <f t="shared" ref="F34:F65" si="3">H34/D34-1</f>
        <v>1.6080422509490013</v>
      </c>
      <c r="G34" s="311">
        <v>568.18441078000001</v>
      </c>
      <c r="H34" s="311">
        <v>891.68853798999999</v>
      </c>
      <c r="I34" s="302">
        <f t="shared" ref="I34:I65" si="4">H34/G34-1</f>
        <v>0.56936466589411627</v>
      </c>
      <c r="J34" s="311">
        <v>1070.5223305500001</v>
      </c>
      <c r="K34" s="311">
        <v>1198.5038304699999</v>
      </c>
      <c r="L34" s="311">
        <v>1294.47050246</v>
      </c>
      <c r="M34" s="312">
        <v>1496.0881053400001</v>
      </c>
      <c r="N34" t="str">
        <f t="shared" ref="N34:N65" si="5">A34&amp;B34</f>
        <v>RomaniaManufacture of computer, electronic and optical products (C26)</v>
      </c>
      <c r="O34" s="11">
        <f>INDEX('Base de dados IHS'!$A$1:$V$676,MATCH($N34,'Base de dados IHS'!$C$1:$C$676,0),MATCH($O$1,'Base de dados IHS'!$A$1:$V$1,0))</f>
        <v>204518.17392167001</v>
      </c>
      <c r="P34" s="11">
        <f>INDEX('Base de dados IHS'!$A$1:$V$676,MATCH($N34,'Base de dados IHS'!$C$1:$C$676,0),MATCH($P$1,'Base de dados IHS'!$A$1:$V$1,0))</f>
        <v>254974.25152873</v>
      </c>
      <c r="Q34" s="131">
        <f>INDEX('Base de dados IHS'!$A$1:$V$676,MATCH($N34,'Base de dados IHS'!$C$1:$C$676,0),MATCH($Q$1,'Base de dados IHS'!$A$1:$V$1,0))</f>
        <v>2.7781609814177852E-3</v>
      </c>
      <c r="R34" s="131">
        <f>INDEX('Base de dados IHS'!$A$1:$V$676,MATCH($N34,'Base de dados IHS'!$C$1:$C$676,0),MATCH($R$1,'Base de dados IHS'!$A$1:$V$1,0))</f>
        <v>3.4971709207646255E-3</v>
      </c>
      <c r="S34" s="131">
        <f>INDEX('Base de dados IHS'!$A$1:$V$676,MATCH($N34,'Base de dados IHS'!$C$1:$C$676,0),MATCH($S$1,'Base de dados IHS'!$A$1:$V$1,0))</f>
        <v>7.1900993934684038E-4</v>
      </c>
      <c r="T34" t="str">
        <f>IF(Q34&lt;'Cenario A ranking setor PIB'!$G$128,"N","Y")</f>
        <v>N</v>
      </c>
    </row>
    <row r="35" spans="1:20" hidden="1" x14ac:dyDescent="0.45">
      <c r="A35" s="293" t="s">
        <v>118</v>
      </c>
      <c r="B35" s="297" t="s">
        <v>4</v>
      </c>
      <c r="C35" s="297" t="s">
        <v>958</v>
      </c>
      <c r="D35" s="311">
        <v>1262.9705017199999</v>
      </c>
      <c r="E35" s="311">
        <v>1689.54438325</v>
      </c>
      <c r="F35" s="302">
        <f t="shared" si="3"/>
        <v>0.33775442969496328</v>
      </c>
      <c r="G35" s="311">
        <v>1466.4496318500001</v>
      </c>
      <c r="H35" s="311">
        <v>1689.54438325</v>
      </c>
      <c r="I35" s="302">
        <f t="shared" si="4"/>
        <v>0.1521325700894034</v>
      </c>
      <c r="J35" s="311">
        <v>2070.3861327099999</v>
      </c>
      <c r="K35" s="311">
        <v>2138.6802990299998</v>
      </c>
      <c r="L35" s="311">
        <v>2200.7177182599999</v>
      </c>
      <c r="M35" s="312">
        <v>2326.1884123200002</v>
      </c>
      <c r="N35" t="str">
        <f t="shared" si="5"/>
        <v>BelgiumManufacture of computer, electronic and optical products (C26)</v>
      </c>
      <c r="O35" s="11">
        <f>INDEX('Base de dados IHS'!$A$1:$V$676,MATCH($N35,'Base de dados IHS'!$C$1:$C$676,0),MATCH($O$1,'Base de dados IHS'!$A$1:$V$1,0))</f>
        <v>500331.50984029</v>
      </c>
      <c r="P35" s="11">
        <f>INDEX('Base de dados IHS'!$A$1:$V$676,MATCH($N35,'Base de dados IHS'!$C$1:$C$676,0),MATCH($P$1,'Base de dados IHS'!$A$1:$V$1,0))</f>
        <v>542439.84157398995</v>
      </c>
      <c r="Q35" s="131">
        <f>INDEX('Base de dados IHS'!$A$1:$V$676,MATCH($N35,'Base de dados IHS'!$C$1:$C$676,0),MATCH($Q$1,'Base de dados IHS'!$A$1:$V$1,0))</f>
        <v>2.9309559822008873E-3</v>
      </c>
      <c r="R35" s="131">
        <f>INDEX('Base de dados IHS'!$A$1:$V$676,MATCH($N35,'Base de dados IHS'!$C$1:$C$676,0),MATCH($R$1,'Base de dados IHS'!$A$1:$V$1,0))</f>
        <v>3.1147129206945292E-3</v>
      </c>
      <c r="S35" s="131">
        <f>INDEX('Base de dados IHS'!$A$1:$V$676,MATCH($N35,'Base de dados IHS'!$C$1:$C$676,0),MATCH($S$1,'Base de dados IHS'!$A$1:$V$1,0))</f>
        <v>1.8375693849364194E-4</v>
      </c>
      <c r="T35" t="str">
        <f>IF(Q35&lt;'Cenario A ranking setor PIB'!$G$128,"N","Y")</f>
        <v>N</v>
      </c>
    </row>
    <row r="36" spans="1:20" x14ac:dyDescent="0.45">
      <c r="A36" s="293" t="s">
        <v>157</v>
      </c>
      <c r="B36" s="297" t="s">
        <v>4</v>
      </c>
      <c r="C36" s="297" t="s">
        <v>958</v>
      </c>
      <c r="D36" s="311">
        <v>590.46599708999997</v>
      </c>
      <c r="E36" s="311">
        <v>578.24188113000002</v>
      </c>
      <c r="F36" s="302">
        <f t="shared" si="3"/>
        <v>-2.0702489254663559E-2</v>
      </c>
      <c r="G36" s="311">
        <v>808.89873</v>
      </c>
      <c r="H36" s="311">
        <v>578.24188113000002</v>
      </c>
      <c r="I36" s="302">
        <f t="shared" si="4"/>
        <v>-0.28514922859379443</v>
      </c>
      <c r="J36" s="311">
        <v>538.55639671999995</v>
      </c>
      <c r="K36" s="311">
        <v>679.16984620000005</v>
      </c>
      <c r="L36" s="311">
        <v>789.14149280000004</v>
      </c>
      <c r="M36" s="312">
        <v>1140.54973339</v>
      </c>
      <c r="N36" t="str">
        <f t="shared" si="5"/>
        <v>SlovakiaManufacture of computer, electronic and optical products (C26)</v>
      </c>
      <c r="O36" s="11">
        <f>INDEX('Base de dados IHS'!$A$1:$V$676,MATCH($N36,'Base de dados IHS'!$C$1:$C$676,0),MATCH($O$1,'Base de dados IHS'!$A$1:$V$1,0))</f>
        <v>94460.171576160006</v>
      </c>
      <c r="P36" s="11">
        <f>INDEX('Base de dados IHS'!$A$1:$V$676,MATCH($N36,'Base de dados IHS'!$C$1:$C$676,0),MATCH($P$1,'Base de dados IHS'!$A$1:$V$1,0))</f>
        <v>107076.6714533</v>
      </c>
      <c r="Q36" s="131">
        <f>INDEX('Base de dados IHS'!$A$1:$V$676,MATCH($N36,'Base de dados IHS'!$C$1:$C$676,0),MATCH($Q$1,'Base de dados IHS'!$A$1:$V$1,0))</f>
        <v>8.5633840856176365E-3</v>
      </c>
      <c r="R36" s="131">
        <f>INDEX('Base de dados IHS'!$A$1:$V$676,MATCH($N36,'Base de dados IHS'!$C$1:$C$676,0),MATCH($R$1,'Base de dados IHS'!$A$1:$V$1,0))</f>
        <v>5.4002601433328279E-3</v>
      </c>
      <c r="S36" s="131">
        <f>INDEX('Base de dados IHS'!$A$1:$V$676,MATCH($N36,'Base de dados IHS'!$C$1:$C$676,0),MATCH($S$1,'Base de dados IHS'!$A$1:$V$1,0))</f>
        <v>-3.1631239422848087E-3</v>
      </c>
      <c r="T36" t="str">
        <f>IF(Q36&lt;'Cenario A ranking setor PIB'!$G$128,"N","Y")</f>
        <v>Y</v>
      </c>
    </row>
    <row r="37" spans="1:20" hidden="1" x14ac:dyDescent="0.45">
      <c r="A37" s="293" t="s">
        <v>151</v>
      </c>
      <c r="B37" s="297" t="s">
        <v>4</v>
      </c>
      <c r="C37" s="297" t="s">
        <v>958</v>
      </c>
      <c r="D37" s="311">
        <v>1098.00440224</v>
      </c>
      <c r="E37" s="311">
        <v>1101.40760826</v>
      </c>
      <c r="F37" s="302">
        <f t="shared" si="3"/>
        <v>3.0994466079163896E-3</v>
      </c>
      <c r="G37" s="311">
        <v>1193.3070413600001</v>
      </c>
      <c r="H37" s="311">
        <v>1101.40760826</v>
      </c>
      <c r="I37" s="302">
        <f t="shared" si="4"/>
        <v>-7.7012394894832137E-2</v>
      </c>
      <c r="J37" s="311">
        <v>1272.24022238</v>
      </c>
      <c r="K37" s="311">
        <v>1393.9903903699999</v>
      </c>
      <c r="L37" s="311">
        <v>1479.5774349200001</v>
      </c>
      <c r="M37" s="312">
        <v>1688.1541041</v>
      </c>
      <c r="N37" t="str">
        <f t="shared" si="5"/>
        <v>NorwayManufacture of computer, electronic and optical products (C26)</v>
      </c>
      <c r="O37" s="11">
        <f>INDEX('Base de dados IHS'!$A$1:$V$676,MATCH($N37,'Base de dados IHS'!$C$1:$C$676,0),MATCH($O$1,'Base de dados IHS'!$A$1:$V$1,0))</f>
        <v>386512.35690163</v>
      </c>
      <c r="P37" s="11">
        <f>INDEX('Base de dados IHS'!$A$1:$V$676,MATCH($N37,'Base de dados IHS'!$C$1:$C$676,0),MATCH($P$1,'Base de dados IHS'!$A$1:$V$1,0))</f>
        <v>418559.21595058002</v>
      </c>
      <c r="Q37" s="131">
        <f>INDEX('Base de dados IHS'!$A$1:$V$676,MATCH($N37,'Base de dados IHS'!$C$1:$C$676,0),MATCH($Q$1,'Base de dados IHS'!$A$1:$V$1,0))</f>
        <v>3.0873709987587921E-3</v>
      </c>
      <c r="R37" s="131">
        <f>INDEX('Base de dados IHS'!$A$1:$V$676,MATCH($N37,'Base de dados IHS'!$C$1:$C$676,0),MATCH($R$1,'Base de dados IHS'!$A$1:$V$1,0))</f>
        <v>2.6314260116304428E-3</v>
      </c>
      <c r="S37" s="131">
        <f>INDEX('Base de dados IHS'!$A$1:$V$676,MATCH($N37,'Base de dados IHS'!$C$1:$C$676,0),MATCH($S$1,'Base de dados IHS'!$A$1:$V$1,0))</f>
        <v>-4.5594498712834934E-4</v>
      </c>
      <c r="T37" t="str">
        <f>IF(Q37&lt;'Cenario A ranking setor PIB'!$G$128,"N","Y")</f>
        <v>N</v>
      </c>
    </row>
    <row r="38" spans="1:20" hidden="1" x14ac:dyDescent="0.45">
      <c r="A38" s="293" t="s">
        <v>163</v>
      </c>
      <c r="B38" s="297" t="s">
        <v>4</v>
      </c>
      <c r="C38" s="297" t="s">
        <v>958</v>
      </c>
      <c r="D38" s="311">
        <v>512.98889799999995</v>
      </c>
      <c r="E38" s="311">
        <v>568.82937728000002</v>
      </c>
      <c r="F38" s="302">
        <f t="shared" si="3"/>
        <v>0.1088531925304943</v>
      </c>
      <c r="G38" s="311">
        <v>522.84925616999999</v>
      </c>
      <c r="H38" s="311">
        <v>568.82937728000002</v>
      </c>
      <c r="I38" s="302">
        <f t="shared" si="4"/>
        <v>8.7941448835206826E-2</v>
      </c>
      <c r="J38" s="311">
        <v>545.72931114000005</v>
      </c>
      <c r="K38" s="311">
        <v>551.19255768000005</v>
      </c>
      <c r="L38" s="311">
        <v>556.44959850999999</v>
      </c>
      <c r="M38" s="312">
        <v>566.65448474000004</v>
      </c>
      <c r="N38" t="str">
        <f t="shared" si="5"/>
        <v>New ZealandManufacture of computer, electronic and optical products (C26)</v>
      </c>
      <c r="O38" s="11">
        <f>INDEX('Base de dados IHS'!$A$1:$V$676,MATCH($N38,'Base de dados IHS'!$C$1:$C$676,0),MATCH($O$1,'Base de dados IHS'!$A$1:$V$1,0))</f>
        <v>180884.85070677</v>
      </c>
      <c r="P38" s="11">
        <f>INDEX('Base de dados IHS'!$A$1:$V$676,MATCH($N38,'Base de dados IHS'!$C$1:$C$676,0),MATCH($P$1,'Base de dados IHS'!$A$1:$V$1,0))</f>
        <v>220909.49174857</v>
      </c>
      <c r="Q38" s="131">
        <f>INDEX('Base de dados IHS'!$A$1:$V$676,MATCH($N38,'Base de dados IHS'!$C$1:$C$676,0),MATCH($Q$1,'Base de dados IHS'!$A$1:$V$1,0))</f>
        <v>2.8905088188815983E-3</v>
      </c>
      <c r="R38" s="131">
        <f>INDEX('Base de dados IHS'!$A$1:$V$676,MATCH($N38,'Base de dados IHS'!$C$1:$C$676,0),MATCH($R$1,'Base de dados IHS'!$A$1:$V$1,0))</f>
        <v>2.5749431261533023E-3</v>
      </c>
      <c r="S38" s="131">
        <f>INDEX('Base de dados IHS'!$A$1:$V$676,MATCH($N38,'Base de dados IHS'!$C$1:$C$676,0),MATCH($S$1,'Base de dados IHS'!$A$1:$V$1,0))</f>
        <v>-3.1556569272829602E-4</v>
      </c>
      <c r="T38" t="str">
        <f>IF(Q38&lt;'Cenario A ranking setor PIB'!$G$128,"N","Y")</f>
        <v>N</v>
      </c>
    </row>
    <row r="39" spans="1:20" hidden="1" x14ac:dyDescent="0.45">
      <c r="A39" s="293" t="s">
        <v>120</v>
      </c>
      <c r="B39" s="297" t="s">
        <v>4</v>
      </c>
      <c r="C39" s="297" t="s">
        <v>958</v>
      </c>
      <c r="D39" s="311">
        <v>2905.3267958000001</v>
      </c>
      <c r="E39" s="311">
        <v>3564.2804754499998</v>
      </c>
      <c r="F39" s="302">
        <f t="shared" si="3"/>
        <v>0.22680879844656254</v>
      </c>
      <c r="G39" s="311">
        <v>3301.21264518</v>
      </c>
      <c r="H39" s="311">
        <v>3564.2804754499998</v>
      </c>
      <c r="I39" s="302">
        <f t="shared" si="4"/>
        <v>7.9688241426706385E-2</v>
      </c>
      <c r="J39" s="311">
        <v>3895.68222053</v>
      </c>
      <c r="K39" s="311">
        <v>4130.9318076500003</v>
      </c>
      <c r="L39" s="311">
        <v>4281.4390249999997</v>
      </c>
      <c r="M39" s="312">
        <v>4625.3079260599998</v>
      </c>
      <c r="N39" t="str">
        <f t="shared" si="5"/>
        <v>AustraliaManufacture of computer, electronic and optical products (C26)</v>
      </c>
      <c r="O39" s="11">
        <f>INDEX('Base de dados IHS'!$A$1:$V$676,MATCH($N39,'Base de dados IHS'!$C$1:$C$676,0),MATCH($O$1,'Base de dados IHS'!$A$1:$V$1,0))</f>
        <v>1256563.3075111001</v>
      </c>
      <c r="P39" s="11">
        <f>INDEX('Base de dados IHS'!$A$1:$V$676,MATCH($N39,'Base de dados IHS'!$C$1:$C$676,0),MATCH($P$1,'Base de dados IHS'!$A$1:$V$1,0))</f>
        <v>1430586.2916371</v>
      </c>
      <c r="Q39" s="131">
        <f>INDEX('Base de dados IHS'!$A$1:$V$676,MATCH($N39,'Base de dados IHS'!$C$1:$C$676,0),MATCH($Q$1,'Base de dados IHS'!$A$1:$V$1,0))</f>
        <v>2.6271757462970786E-3</v>
      </c>
      <c r="R39" s="131">
        <f>INDEX('Base de dados IHS'!$A$1:$V$676,MATCH($N39,'Base de dados IHS'!$C$1:$C$676,0),MATCH($R$1,'Base de dados IHS'!$A$1:$V$1,0))</f>
        <v>2.4914823357989778E-3</v>
      </c>
      <c r="S39" s="131">
        <f>INDEX('Base de dados IHS'!$A$1:$V$676,MATCH($N39,'Base de dados IHS'!$C$1:$C$676,0),MATCH($S$1,'Base de dados IHS'!$A$1:$V$1,0))</f>
        <v>-1.3569341049810089E-4</v>
      </c>
      <c r="T39" t="str">
        <f>IF(Q39&lt;'Cenario A ranking setor PIB'!$G$128,"N","Y")</f>
        <v>N</v>
      </c>
    </row>
    <row r="40" spans="1:20" hidden="1" x14ac:dyDescent="0.45">
      <c r="A40" s="293" t="s">
        <v>161</v>
      </c>
      <c r="B40" s="297" t="s">
        <v>4</v>
      </c>
      <c r="C40" s="297" t="s">
        <v>958</v>
      </c>
      <c r="D40" s="311">
        <v>533.90306335000002</v>
      </c>
      <c r="E40" s="311">
        <v>564.70295692000002</v>
      </c>
      <c r="F40" s="302">
        <f t="shared" si="3"/>
        <v>5.7688175409117637E-2</v>
      </c>
      <c r="G40" s="311">
        <v>445.19061968</v>
      </c>
      <c r="H40" s="311">
        <v>564.70295692000002</v>
      </c>
      <c r="I40" s="302">
        <f t="shared" si="4"/>
        <v>0.2684520561684447</v>
      </c>
      <c r="J40" s="311">
        <v>707.72604578999994</v>
      </c>
      <c r="K40" s="311">
        <v>770.81346427999995</v>
      </c>
      <c r="L40" s="311">
        <v>816.27926415000002</v>
      </c>
      <c r="M40" s="312">
        <v>923.01092546999996</v>
      </c>
      <c r="N40" t="str">
        <f t="shared" si="5"/>
        <v>PortugalManufacture of computer, electronic and optical products (C26)</v>
      </c>
      <c r="O40" s="11">
        <f>INDEX('Base de dados IHS'!$A$1:$V$676,MATCH($N40,'Base de dados IHS'!$C$1:$C$676,0),MATCH($O$1,'Base de dados IHS'!$A$1:$V$1,0))</f>
        <v>215192.52938671</v>
      </c>
      <c r="P40" s="11">
        <f>INDEX('Base de dados IHS'!$A$1:$V$676,MATCH($N40,'Base de dados IHS'!$C$1:$C$676,0),MATCH($P$1,'Base de dados IHS'!$A$1:$V$1,0))</f>
        <v>232686.90641277001</v>
      </c>
      <c r="Q40" s="131">
        <f>INDEX('Base de dados IHS'!$A$1:$V$676,MATCH($N40,'Base de dados IHS'!$C$1:$C$676,0),MATCH($Q$1,'Base de dados IHS'!$A$1:$V$1,0))</f>
        <v>2.0688014632700086E-3</v>
      </c>
      <c r="R40" s="131">
        <f>INDEX('Base de dados IHS'!$A$1:$V$676,MATCH($N40,'Base de dados IHS'!$C$1:$C$676,0),MATCH($R$1,'Base de dados IHS'!$A$1:$V$1,0))</f>
        <v>2.4268789577624843E-3</v>
      </c>
      <c r="S40" s="131">
        <f>INDEX('Base de dados IHS'!$A$1:$V$676,MATCH($N40,'Base de dados IHS'!$C$1:$C$676,0),MATCH($S$1,'Base de dados IHS'!$A$1:$V$1,0))</f>
        <v>3.5807749449247566E-4</v>
      </c>
      <c r="T40" t="str">
        <f>IF(Q40&lt;'Cenario A ranking setor PIB'!$G$128,"N","Y")</f>
        <v>N</v>
      </c>
    </row>
    <row r="41" spans="1:20" hidden="1" x14ac:dyDescent="0.45">
      <c r="A41" s="293" t="s">
        <v>108</v>
      </c>
      <c r="B41" s="297" t="s">
        <v>4</v>
      </c>
      <c r="C41" s="297" t="s">
        <v>958</v>
      </c>
      <c r="D41" s="311">
        <v>668.12405607999995</v>
      </c>
      <c r="E41" s="311">
        <v>2041.0246921200001</v>
      </c>
      <c r="F41" s="302">
        <f t="shared" si="3"/>
        <v>2.0548588597378861</v>
      </c>
      <c r="G41" s="311">
        <v>1081.86417413</v>
      </c>
      <c r="H41" s="311">
        <v>2041.0246921200001</v>
      </c>
      <c r="I41" s="302">
        <f t="shared" si="4"/>
        <v>0.88658127418012134</v>
      </c>
      <c r="J41" s="311">
        <v>2992.7459646299999</v>
      </c>
      <c r="K41" s="311">
        <v>3598.1171412100002</v>
      </c>
      <c r="L41" s="311">
        <v>4100.7607318800001</v>
      </c>
      <c r="M41" s="312">
        <v>5667.4467598700003</v>
      </c>
      <c r="N41" t="str">
        <f t="shared" si="5"/>
        <v>TurkeyManufacture of computer, electronic and optical products (C26)</v>
      </c>
      <c r="O41" s="11">
        <f>INDEX('Base de dados IHS'!$A$1:$V$676,MATCH($N41,'Base de dados IHS'!$C$1:$C$676,0),MATCH($O$1,'Base de dados IHS'!$A$1:$V$1,0))</f>
        <v>659235.83503077005</v>
      </c>
      <c r="P41" s="11">
        <f>INDEX('Base de dados IHS'!$A$1:$V$676,MATCH($N41,'Base de dados IHS'!$C$1:$C$676,0),MATCH($P$1,'Base de dados IHS'!$A$1:$V$1,0))</f>
        <v>865088.75381619995</v>
      </c>
      <c r="Q41" s="131">
        <f>INDEX('Base de dados IHS'!$A$1:$V$676,MATCH($N41,'Base de dados IHS'!$C$1:$C$676,0),MATCH($Q$1,'Base de dados IHS'!$A$1:$V$1,0))</f>
        <v>1.641088236775696E-3</v>
      </c>
      <c r="R41" s="131">
        <f>INDEX('Base de dados IHS'!$A$1:$V$676,MATCH($N41,'Base de dados IHS'!$C$1:$C$676,0),MATCH($R$1,'Base de dados IHS'!$A$1:$V$1,0))</f>
        <v>2.3593240382750878E-3</v>
      </c>
      <c r="S41" s="131">
        <f>INDEX('Base de dados IHS'!$A$1:$V$676,MATCH($N41,'Base de dados IHS'!$C$1:$C$676,0),MATCH($S$1,'Base de dados IHS'!$A$1:$V$1,0))</f>
        <v>7.1823580149939182E-4</v>
      </c>
      <c r="T41" t="str">
        <f>IF(Q41&lt;'Cenario A ranking setor PIB'!$G$128,"N","Y")</f>
        <v>N</v>
      </c>
    </row>
    <row r="42" spans="1:20" hidden="1" x14ac:dyDescent="0.45">
      <c r="A42" s="293" t="s">
        <v>148</v>
      </c>
      <c r="B42" s="297" t="s">
        <v>4</v>
      </c>
      <c r="C42" s="297" t="s">
        <v>958</v>
      </c>
      <c r="D42" s="311">
        <v>80.954366140000005</v>
      </c>
      <c r="E42" s="311">
        <v>86.435257719999996</v>
      </c>
      <c r="F42" s="302">
        <f t="shared" si="3"/>
        <v>6.7703470996505644E-2</v>
      </c>
      <c r="G42" s="311">
        <v>87.953409969999996</v>
      </c>
      <c r="H42" s="311">
        <v>86.435257719999996</v>
      </c>
      <c r="I42" s="302">
        <f t="shared" si="4"/>
        <v>-1.726086857255249E-2</v>
      </c>
      <c r="J42" s="311">
        <v>92.599683290000002</v>
      </c>
      <c r="K42" s="311">
        <v>98.289159330000004</v>
      </c>
      <c r="L42" s="311">
        <v>103.17130421</v>
      </c>
      <c r="M42" s="312">
        <v>113.79153203</v>
      </c>
      <c r="N42" t="str">
        <f t="shared" si="5"/>
        <v>BahrainManufacture of computer, electronic and optical products (C26)</v>
      </c>
      <c r="O42" s="11">
        <f>INDEX('Base de dados IHS'!$A$1:$V$676,MATCH($N42,'Base de dados IHS'!$C$1:$C$676,0),MATCH($O$1,'Base de dados IHS'!$A$1:$V$1,0))</f>
        <v>33332.328188890002</v>
      </c>
      <c r="P42" s="11">
        <f>INDEX('Base de dados IHS'!$A$1:$V$676,MATCH($N42,'Base de dados IHS'!$C$1:$C$676,0),MATCH($P$1,'Base de dados IHS'!$A$1:$V$1,0))</f>
        <v>36767.801730239997</v>
      </c>
      <c r="Q42" s="131">
        <f>INDEX('Base de dados IHS'!$A$1:$V$676,MATCH($N42,'Base de dados IHS'!$C$1:$C$676,0),MATCH($Q$1,'Base de dados IHS'!$A$1:$V$1,0))</f>
        <v>2.6386818667924836E-3</v>
      </c>
      <c r="R42" s="131">
        <f>INDEX('Base de dados IHS'!$A$1:$V$676,MATCH($N42,'Base de dados IHS'!$C$1:$C$676,0),MATCH($R$1,'Base de dados IHS'!$A$1:$V$1,0))</f>
        <v>2.3508410525644933E-3</v>
      </c>
      <c r="S42" s="131">
        <f>INDEX('Base de dados IHS'!$A$1:$V$676,MATCH($N42,'Base de dados IHS'!$C$1:$C$676,0),MATCH($S$1,'Base de dados IHS'!$A$1:$V$1,0))</f>
        <v>-2.878408142279903E-4</v>
      </c>
      <c r="T42" t="str">
        <f>IF(Q42&lt;'Cenario A ranking setor PIB'!$G$128,"N","Y")</f>
        <v>N</v>
      </c>
    </row>
    <row r="43" spans="1:20" hidden="1" x14ac:dyDescent="0.45">
      <c r="A43" s="293" t="s">
        <v>149</v>
      </c>
      <c r="B43" s="297" t="s">
        <v>4</v>
      </c>
      <c r="C43" s="297" t="s">
        <v>958</v>
      </c>
      <c r="D43" s="311">
        <v>620.04489627999999</v>
      </c>
      <c r="E43" s="311">
        <v>334.57274961000002</v>
      </c>
      <c r="F43" s="302">
        <f t="shared" si="3"/>
        <v>-0.46040560672736575</v>
      </c>
      <c r="G43" s="311">
        <v>281.96655609999999</v>
      </c>
      <c r="H43" s="311">
        <v>334.57274961000002</v>
      </c>
      <c r="I43" s="302">
        <f t="shared" si="4"/>
        <v>0.18656891170931322</v>
      </c>
      <c r="J43" s="311">
        <v>248.76114665</v>
      </c>
      <c r="K43" s="311">
        <v>307.59909307999999</v>
      </c>
      <c r="L43" s="311">
        <v>394.48900795999998</v>
      </c>
      <c r="M43" s="312">
        <v>667.49995882999997</v>
      </c>
      <c r="N43" t="str">
        <f t="shared" si="5"/>
        <v>UkraineManufacture of computer, electronic and optical products (C26)</v>
      </c>
      <c r="O43" s="11">
        <f>INDEX('Base de dados IHS'!$A$1:$V$676,MATCH($N43,'Base de dados IHS'!$C$1:$C$676,0),MATCH($O$1,'Base de dados IHS'!$A$1:$V$1,0))</f>
        <v>137743.94890503999</v>
      </c>
      <c r="P43" s="11">
        <f>INDEX('Base de dados IHS'!$A$1:$V$676,MATCH($N43,'Base de dados IHS'!$C$1:$C$676,0),MATCH($P$1,'Base de dados IHS'!$A$1:$V$1,0))</f>
        <v>153275.23415388001</v>
      </c>
      <c r="Q43" s="131">
        <f>INDEX('Base de dados IHS'!$A$1:$V$676,MATCH($N43,'Base de dados IHS'!$C$1:$C$676,0),MATCH($Q$1,'Base de dados IHS'!$A$1:$V$1,0))</f>
        <v>2.0470340682216567E-3</v>
      </c>
      <c r="R43" s="131">
        <f>INDEX('Base de dados IHS'!$A$1:$V$676,MATCH($N43,'Base de dados IHS'!$C$1:$C$676,0),MATCH($R$1,'Base de dados IHS'!$A$1:$V$1,0))</f>
        <v>2.1828232816405758E-3</v>
      </c>
      <c r="S43" s="131">
        <f>INDEX('Base de dados IHS'!$A$1:$V$676,MATCH($N43,'Base de dados IHS'!$C$1:$C$676,0),MATCH($S$1,'Base de dados IHS'!$A$1:$V$1,0))</f>
        <v>1.3578921341891913E-4</v>
      </c>
      <c r="T43" t="str">
        <f>IF(Q43&lt;'Cenario A ranking setor PIB'!$G$128,"N","Y")</f>
        <v>N</v>
      </c>
    </row>
    <row r="44" spans="1:20" hidden="1" x14ac:dyDescent="0.45">
      <c r="A44" s="293" t="s">
        <v>165</v>
      </c>
      <c r="B44" s="297" t="s">
        <v>4</v>
      </c>
      <c r="C44" s="297" t="s">
        <v>958</v>
      </c>
      <c r="D44" s="311">
        <v>203.78448900000001</v>
      </c>
      <c r="E44" s="311">
        <v>224.31425252</v>
      </c>
      <c r="F44" s="302">
        <f t="shared" si="3"/>
        <v>0.10074252275402573</v>
      </c>
      <c r="G44" s="311">
        <v>221.33264840000001</v>
      </c>
      <c r="H44" s="311">
        <v>224.31425252</v>
      </c>
      <c r="I44" s="302">
        <f t="shared" si="4"/>
        <v>1.3471144639319199E-2</v>
      </c>
      <c r="J44" s="311">
        <v>240.80471363999999</v>
      </c>
      <c r="K44" s="311">
        <v>257.56499731999997</v>
      </c>
      <c r="L44" s="311">
        <v>272.26967595999997</v>
      </c>
      <c r="M44" s="312">
        <v>312.65805895</v>
      </c>
      <c r="N44" t="str">
        <f t="shared" si="5"/>
        <v>EcuadorManufacture of computer, electronic and optical products (C26)</v>
      </c>
      <c r="O44" s="11">
        <f>INDEX('Base de dados IHS'!$A$1:$V$676,MATCH($N44,'Base de dados IHS'!$C$1:$C$676,0),MATCH($O$1,'Base de dados IHS'!$A$1:$V$1,0))</f>
        <v>105544.34131757999</v>
      </c>
      <c r="P44" s="11">
        <f>INDEX('Base de dados IHS'!$A$1:$V$676,MATCH($N44,'Base de dados IHS'!$C$1:$C$676,0),MATCH($P$1,'Base de dados IHS'!$A$1:$V$1,0))</f>
        <v>103911.06087433999</v>
      </c>
      <c r="Q44" s="131">
        <f>INDEX('Base de dados IHS'!$A$1:$V$676,MATCH($N44,'Base de dados IHS'!$C$1:$C$676,0),MATCH($Q$1,'Base de dados IHS'!$A$1:$V$1,0))</f>
        <v>2.0970584082193114E-3</v>
      </c>
      <c r="R44" s="131">
        <f>INDEX('Base de dados IHS'!$A$1:$V$676,MATCH($N44,'Base de dados IHS'!$C$1:$C$676,0),MATCH($R$1,'Base de dados IHS'!$A$1:$V$1,0))</f>
        <v>2.1587139100741545E-3</v>
      </c>
      <c r="S44" s="131">
        <f>INDEX('Base de dados IHS'!$A$1:$V$676,MATCH($N44,'Base de dados IHS'!$C$1:$C$676,0),MATCH($S$1,'Base de dados IHS'!$A$1:$V$1,0))</f>
        <v>6.1655501854843142E-5</v>
      </c>
      <c r="T44" t="str">
        <f>IF(Q44&lt;'Cenario A ranking setor PIB'!$G$128,"N","Y")</f>
        <v>N</v>
      </c>
    </row>
    <row r="45" spans="1:20" hidden="1" x14ac:dyDescent="0.45">
      <c r="A45" s="293" t="s">
        <v>156</v>
      </c>
      <c r="B45" s="297" t="s">
        <v>4</v>
      </c>
      <c r="C45" s="297" t="s">
        <v>958</v>
      </c>
      <c r="D45" s="311">
        <v>257.25560679</v>
      </c>
      <c r="E45" s="311">
        <v>403.96456210999997</v>
      </c>
      <c r="F45" s="302">
        <f t="shared" si="3"/>
        <v>0.57028477299528713</v>
      </c>
      <c r="G45" s="311">
        <v>210.74049436999999</v>
      </c>
      <c r="H45" s="311">
        <v>403.96456210999997</v>
      </c>
      <c r="I45" s="302">
        <f t="shared" si="4"/>
        <v>0.91688153393411809</v>
      </c>
      <c r="J45" s="311">
        <v>541.49827104999997</v>
      </c>
      <c r="K45" s="311">
        <v>575.95446556000002</v>
      </c>
      <c r="L45" s="311">
        <v>596.84771868999997</v>
      </c>
      <c r="M45" s="312">
        <v>642.86800212000003</v>
      </c>
      <c r="N45" t="str">
        <f t="shared" si="5"/>
        <v>GreeceManufacture of computer, electronic and optical products (C26)</v>
      </c>
      <c r="O45" s="11">
        <f>INDEX('Base de dados IHS'!$A$1:$V$676,MATCH($N45,'Base de dados IHS'!$C$1:$C$676,0),MATCH($O$1,'Base de dados IHS'!$A$1:$V$1,0))</f>
        <v>196841.83448053</v>
      </c>
      <c r="P45" s="11">
        <f>INDEX('Base de dados IHS'!$A$1:$V$676,MATCH($N45,'Base de dados IHS'!$C$1:$C$676,0),MATCH($P$1,'Base de dados IHS'!$A$1:$V$1,0))</f>
        <v>201121.93838619001</v>
      </c>
      <c r="Q45" s="131">
        <f>INDEX('Base de dados IHS'!$A$1:$V$676,MATCH($N45,'Base de dados IHS'!$C$1:$C$676,0),MATCH($Q$1,'Base de dados IHS'!$A$1:$V$1,0))</f>
        <v>1.0706082623449882E-3</v>
      </c>
      <c r="R45" s="131">
        <f>INDEX('Base de dados IHS'!$A$1:$V$676,MATCH($N45,'Base de dados IHS'!$C$1:$C$676,0),MATCH($R$1,'Base de dados IHS'!$A$1:$V$1,0))</f>
        <v>2.0085554333427115E-3</v>
      </c>
      <c r="S45" s="131">
        <f>INDEX('Base de dados IHS'!$A$1:$V$676,MATCH($N45,'Base de dados IHS'!$C$1:$C$676,0),MATCH($S$1,'Base de dados IHS'!$A$1:$V$1,0))</f>
        <v>9.3794717099772332E-4</v>
      </c>
      <c r="T45" t="str">
        <f>IF(Q45&lt;'Cenario A ranking setor PIB'!$G$128,"N","Y")</f>
        <v>N</v>
      </c>
    </row>
    <row r="46" spans="1:20" hidden="1" x14ac:dyDescent="0.45">
      <c r="A46" s="293" t="s">
        <v>164</v>
      </c>
      <c r="B46" s="297" t="s">
        <v>4</v>
      </c>
      <c r="C46" s="297" t="s">
        <v>958</v>
      </c>
      <c r="D46" s="311">
        <v>297.52164963000001</v>
      </c>
      <c r="E46" s="311">
        <v>259.59416743999998</v>
      </c>
      <c r="F46" s="302">
        <f t="shared" si="3"/>
        <v>-0.12747805827632008</v>
      </c>
      <c r="G46" s="311">
        <v>285.20627377</v>
      </c>
      <c r="H46" s="311">
        <v>259.59416743999998</v>
      </c>
      <c r="I46" s="302">
        <f t="shared" si="4"/>
        <v>-8.9802043943305709E-2</v>
      </c>
      <c r="J46" s="311">
        <v>319.52248330999998</v>
      </c>
      <c r="K46" s="311">
        <v>347.13477932000001</v>
      </c>
      <c r="L46" s="311">
        <v>365.54133419999999</v>
      </c>
      <c r="M46" s="312">
        <v>420.00204753999998</v>
      </c>
      <c r="N46" t="str">
        <f t="shared" si="5"/>
        <v>MoroccoManufacture of computer, electronic and optical products (C26)</v>
      </c>
      <c r="O46" s="11">
        <f>INDEX('Base de dados IHS'!$A$1:$V$676,MATCH($N46,'Base de dados IHS'!$C$1:$C$676,0),MATCH($O$1,'Base de dados IHS'!$A$1:$V$1,0))</f>
        <v>115608.87885166</v>
      </c>
      <c r="P46" s="11">
        <f>INDEX('Base de dados IHS'!$A$1:$V$676,MATCH($N46,'Base de dados IHS'!$C$1:$C$676,0),MATCH($P$1,'Base de dados IHS'!$A$1:$V$1,0))</f>
        <v>129710.11086108</v>
      </c>
      <c r="Q46" s="131">
        <f>INDEX('Base de dados IHS'!$A$1:$V$676,MATCH($N46,'Base de dados IHS'!$C$1:$C$676,0),MATCH($Q$1,'Base de dados IHS'!$A$1:$V$1,0))</f>
        <v>2.4669928175322388E-3</v>
      </c>
      <c r="R46" s="131">
        <f>INDEX('Base de dados IHS'!$A$1:$V$676,MATCH($N46,'Base de dados IHS'!$C$1:$C$676,0),MATCH($R$1,'Base de dados IHS'!$A$1:$V$1,0))</f>
        <v>2.0013410343780085E-3</v>
      </c>
      <c r="S46" s="131">
        <f>INDEX('Base de dados IHS'!$A$1:$V$676,MATCH($N46,'Base de dados IHS'!$C$1:$C$676,0),MATCH($S$1,'Base de dados IHS'!$A$1:$V$1,0))</f>
        <v>-4.6565178315423035E-4</v>
      </c>
      <c r="T46" t="str">
        <f>IF(Q46&lt;'Cenario A ranking setor PIB'!$G$128,"N","Y")</f>
        <v>N</v>
      </c>
    </row>
    <row r="47" spans="1:20" hidden="1" x14ac:dyDescent="0.45">
      <c r="A47" s="293" t="s">
        <v>150</v>
      </c>
      <c r="B47" s="297" t="s">
        <v>4</v>
      </c>
      <c r="C47" s="297" t="s">
        <v>958</v>
      </c>
      <c r="D47" s="311">
        <v>346.22232993</v>
      </c>
      <c r="E47" s="311">
        <v>606.98637128999997</v>
      </c>
      <c r="F47" s="302">
        <f t="shared" si="3"/>
        <v>0.75316933316439116</v>
      </c>
      <c r="G47" s="311">
        <v>527.21973649999995</v>
      </c>
      <c r="H47" s="311">
        <v>606.98637128999997</v>
      </c>
      <c r="I47" s="302">
        <f t="shared" si="4"/>
        <v>0.1512967540243062</v>
      </c>
      <c r="J47" s="311">
        <v>1025.0462816100001</v>
      </c>
      <c r="K47" s="311">
        <v>1756.31765395</v>
      </c>
      <c r="L47" s="311">
        <v>2429.6381387500001</v>
      </c>
      <c r="M47" s="312">
        <v>4484.6595868900004</v>
      </c>
      <c r="N47" t="str">
        <f t="shared" si="5"/>
        <v>PhilippinesManufacture of computer, electronic and optical products (C26)</v>
      </c>
      <c r="O47" s="11">
        <f>INDEX('Base de dados IHS'!$A$1:$V$676,MATCH($N47,'Base de dados IHS'!$C$1:$C$676,0),MATCH($O$1,'Base de dados IHS'!$A$1:$V$1,0))</f>
        <v>291518.00825125998</v>
      </c>
      <c r="P47" s="11">
        <f>INDEX('Base de dados IHS'!$A$1:$V$676,MATCH($N47,'Base de dados IHS'!$C$1:$C$676,0),MATCH($P$1,'Base de dados IHS'!$A$1:$V$1,0))</f>
        <v>360513.15606205998</v>
      </c>
      <c r="Q47" s="131">
        <f>INDEX('Base de dados IHS'!$A$1:$V$676,MATCH($N47,'Base de dados IHS'!$C$1:$C$676,0),MATCH($Q$1,'Base de dados IHS'!$A$1:$V$1,0))</f>
        <v>1.8085323087333534E-3</v>
      </c>
      <c r="R47" s="131">
        <f>INDEX('Base de dados IHS'!$A$1:$V$676,MATCH($N47,'Base de dados IHS'!$C$1:$C$676,0),MATCH($R$1,'Base de dados IHS'!$A$1:$V$1,0))</f>
        <v>1.6836732892641267E-3</v>
      </c>
      <c r="S47" s="131">
        <f>INDEX('Base de dados IHS'!$A$1:$V$676,MATCH($N47,'Base de dados IHS'!$C$1:$C$676,0),MATCH($S$1,'Base de dados IHS'!$A$1:$V$1,0))</f>
        <v>-1.2485901946922675E-4</v>
      </c>
      <c r="T47" t="str">
        <f>IF(Q47&lt;'Cenario A ranking setor PIB'!$G$128,"N","Y")</f>
        <v>N</v>
      </c>
    </row>
    <row r="48" spans="1:20" hidden="1" x14ac:dyDescent="0.45">
      <c r="A48" s="293" t="s">
        <v>155</v>
      </c>
      <c r="B48" s="297" t="s">
        <v>4</v>
      </c>
      <c r="C48" s="297" t="s">
        <v>958</v>
      </c>
      <c r="D48" s="311">
        <v>127.33861021</v>
      </c>
      <c r="E48" s="311">
        <v>271.86380695000003</v>
      </c>
      <c r="F48" s="302">
        <f t="shared" si="3"/>
        <v>1.1349675993923354</v>
      </c>
      <c r="G48" s="311">
        <v>225.51546841000001</v>
      </c>
      <c r="H48" s="311">
        <v>271.86380695000003</v>
      </c>
      <c r="I48" s="302">
        <f t="shared" si="4"/>
        <v>0.20552177137461847</v>
      </c>
      <c r="J48" s="311">
        <v>389.20799247999997</v>
      </c>
      <c r="K48" s="311">
        <v>455.97340383</v>
      </c>
      <c r="L48" s="311">
        <v>490.78955396999999</v>
      </c>
      <c r="M48" s="312">
        <v>564.51222912000003</v>
      </c>
      <c r="N48" t="str">
        <f t="shared" si="5"/>
        <v>QatarManufacture of computer, electronic and optical products (C26)</v>
      </c>
      <c r="O48" s="11">
        <f>INDEX('Base de dados IHS'!$A$1:$V$676,MATCH($N48,'Base de dados IHS'!$C$1:$C$676,0),MATCH($O$1,'Base de dados IHS'!$A$1:$V$1,0))</f>
        <v>170576.82347613</v>
      </c>
      <c r="P48" s="11">
        <f>INDEX('Base de dados IHS'!$A$1:$V$676,MATCH($N48,'Base de dados IHS'!$C$1:$C$676,0),MATCH($P$1,'Base de dados IHS'!$A$1:$V$1,0))</f>
        <v>172715.39534024999</v>
      </c>
      <c r="Q48" s="131">
        <f>INDEX('Base de dados IHS'!$A$1:$V$676,MATCH($N48,'Base de dados IHS'!$C$1:$C$676,0),MATCH($Q$1,'Base de dados IHS'!$A$1:$V$1,0))</f>
        <v>1.322075671326814E-3</v>
      </c>
      <c r="R48" s="131">
        <f>INDEX('Base de dados IHS'!$A$1:$V$676,MATCH($N48,'Base de dados IHS'!$C$1:$C$676,0),MATCH($R$1,'Base de dados IHS'!$A$1:$V$1,0))</f>
        <v>1.5740565941700061E-3</v>
      </c>
      <c r="S48" s="131">
        <f>INDEX('Base de dados IHS'!$A$1:$V$676,MATCH($N48,'Base de dados IHS'!$C$1:$C$676,0),MATCH($S$1,'Base de dados IHS'!$A$1:$V$1,0))</f>
        <v>2.5198092284319201E-4</v>
      </c>
      <c r="T48" t="str">
        <f>IF(Q48&lt;'Cenario A ranking setor PIB'!$G$128,"N","Y")</f>
        <v>N</v>
      </c>
    </row>
    <row r="49" spans="1:20" hidden="1" x14ac:dyDescent="0.45">
      <c r="A49" s="293" t="s">
        <v>77</v>
      </c>
      <c r="B49" s="297" t="s">
        <v>4</v>
      </c>
      <c r="C49" s="297" t="s">
        <v>958</v>
      </c>
      <c r="D49" s="311">
        <v>1869.8420023799999</v>
      </c>
      <c r="E49" s="311">
        <v>2044.4606497</v>
      </c>
      <c r="F49" s="302">
        <f t="shared" si="3"/>
        <v>9.338684610664405E-2</v>
      </c>
      <c r="G49" s="311">
        <v>1601.1100827400001</v>
      </c>
      <c r="H49" s="311">
        <v>2044.4606497</v>
      </c>
      <c r="I49" s="302">
        <f t="shared" si="4"/>
        <v>0.27690198927564591</v>
      </c>
      <c r="J49" s="311">
        <v>2374.00723483</v>
      </c>
      <c r="K49" s="311">
        <v>2531.9933527100002</v>
      </c>
      <c r="L49" s="311">
        <v>2620.5187844400002</v>
      </c>
      <c r="M49" s="312">
        <v>2807.3611367600001</v>
      </c>
      <c r="N49" t="str">
        <f t="shared" si="5"/>
        <v>SpainManufacture of computer, electronic and optical products (C26)</v>
      </c>
      <c r="O49" s="11">
        <f>INDEX('Base de dados IHS'!$A$1:$V$676,MATCH($N49,'Base de dados IHS'!$C$1:$C$676,0),MATCH($O$1,'Base de dados IHS'!$A$1:$V$1,0))</f>
        <v>1259732.1048611</v>
      </c>
      <c r="P49" s="11">
        <f>INDEX('Base de dados IHS'!$A$1:$V$676,MATCH($N49,'Base de dados IHS'!$C$1:$C$676,0),MATCH($P$1,'Base de dados IHS'!$A$1:$V$1,0))</f>
        <v>1317888.2673469</v>
      </c>
      <c r="Q49" s="131">
        <f>INDEX('Base de dados IHS'!$A$1:$V$676,MATCH($N49,'Base de dados IHS'!$C$1:$C$676,0),MATCH($Q$1,'Base de dados IHS'!$A$1:$V$1,0))</f>
        <v>1.2709925202045564E-3</v>
      </c>
      <c r="R49" s="131">
        <f>INDEX('Base de dados IHS'!$A$1:$V$676,MATCH($N49,'Base de dados IHS'!$C$1:$C$676,0),MATCH($R$1,'Base de dados IHS'!$A$1:$V$1,0))</f>
        <v>1.551315616319884E-3</v>
      </c>
      <c r="S49" s="131">
        <f>INDEX('Base de dados IHS'!$A$1:$V$676,MATCH($N49,'Base de dados IHS'!$C$1:$C$676,0),MATCH($S$1,'Base de dados IHS'!$A$1:$V$1,0))</f>
        <v>2.8032309611532758E-4</v>
      </c>
      <c r="T49" t="str">
        <f>IF(Q49&lt;'Cenario A ranking setor PIB'!$G$128,"N","Y")</f>
        <v>N</v>
      </c>
    </row>
    <row r="50" spans="1:20" hidden="1" x14ac:dyDescent="0.45">
      <c r="A50" s="293" t="s">
        <v>107</v>
      </c>
      <c r="B50" s="297" t="s">
        <v>4</v>
      </c>
      <c r="C50" s="297" t="s">
        <v>958</v>
      </c>
      <c r="D50" s="311">
        <v>305.38401531</v>
      </c>
      <c r="E50" s="311">
        <v>343.29624360000003</v>
      </c>
      <c r="F50" s="302">
        <f t="shared" si="3"/>
        <v>0.12414607965487234</v>
      </c>
      <c r="G50" s="311">
        <v>353.64319889000001</v>
      </c>
      <c r="H50" s="311">
        <v>343.29624360000003</v>
      </c>
      <c r="I50" s="302">
        <f t="shared" si="4"/>
        <v>-2.9258176949186532E-2</v>
      </c>
      <c r="J50" s="311">
        <v>446.48171783999999</v>
      </c>
      <c r="K50" s="311">
        <v>518.05352850999998</v>
      </c>
      <c r="L50" s="311">
        <v>558.73833902000001</v>
      </c>
      <c r="M50" s="312">
        <v>661.16326365999998</v>
      </c>
      <c r="N50" t="str">
        <f t="shared" si="5"/>
        <v>IranManufacture of computer, electronic and optical products (C26)</v>
      </c>
      <c r="O50" s="11">
        <f>INDEX('Base de dados IHS'!$A$1:$V$676,MATCH($N50,'Base de dados IHS'!$C$1:$C$676,0),MATCH($O$1,'Base de dados IHS'!$A$1:$V$1,0))</f>
        <v>195024.47923529</v>
      </c>
      <c r="P50" s="11">
        <f>INDEX('Base de dados IHS'!$A$1:$V$676,MATCH($N50,'Base de dados IHS'!$C$1:$C$676,0),MATCH($P$1,'Base de dados IHS'!$A$1:$V$1,0))</f>
        <v>224406.94908081999</v>
      </c>
      <c r="Q50" s="131">
        <f>INDEX('Base de dados IHS'!$A$1:$V$676,MATCH($N50,'Base de dados IHS'!$C$1:$C$676,0),MATCH($Q$1,'Base de dados IHS'!$A$1:$V$1,0))</f>
        <v>1.8133272309028563E-3</v>
      </c>
      <c r="R50" s="131">
        <f>INDEX('Base de dados IHS'!$A$1:$V$676,MATCH($N50,'Base de dados IHS'!$C$1:$C$676,0),MATCH($R$1,'Base de dados IHS'!$A$1:$V$1,0))</f>
        <v>1.5297932840589625E-3</v>
      </c>
      <c r="S50" s="131">
        <f>INDEX('Base de dados IHS'!$A$1:$V$676,MATCH($N50,'Base de dados IHS'!$C$1:$C$676,0),MATCH($S$1,'Base de dados IHS'!$A$1:$V$1,0))</f>
        <v>-2.8353394684389375E-4</v>
      </c>
      <c r="T50" t="str">
        <f>IF(Q50&lt;'Cenario A ranking setor PIB'!$G$128,"N","Y")</f>
        <v>N</v>
      </c>
    </row>
    <row r="51" spans="1:20" hidden="1" x14ac:dyDescent="0.45">
      <c r="A51" s="293" t="s">
        <v>70</v>
      </c>
      <c r="B51" s="297" t="s">
        <v>4</v>
      </c>
      <c r="C51" s="297" t="s">
        <v>958</v>
      </c>
      <c r="D51" s="311">
        <v>3304.8898805099998</v>
      </c>
      <c r="E51" s="311">
        <v>4404.4162485300003</v>
      </c>
      <c r="F51" s="302">
        <f t="shared" si="3"/>
        <v>0.3326968243342272</v>
      </c>
      <c r="G51" s="311">
        <v>4215.5676293400002</v>
      </c>
      <c r="H51" s="311">
        <v>4404.4162485300003</v>
      </c>
      <c r="I51" s="302">
        <f t="shared" si="4"/>
        <v>4.4797909983848694E-2</v>
      </c>
      <c r="J51" s="311">
        <v>5396.2755758499998</v>
      </c>
      <c r="K51" s="311">
        <v>6944.68967307</v>
      </c>
      <c r="L51" s="311">
        <v>8232.3027038700002</v>
      </c>
      <c r="M51" s="312">
        <v>11783.297475429999</v>
      </c>
      <c r="N51" t="str">
        <f t="shared" si="5"/>
        <v>IndiaManufacture of computer, electronic and optical products (C26)</v>
      </c>
      <c r="O51" s="11">
        <f>INDEX('Base de dados IHS'!$A$1:$V$676,MATCH($N51,'Base de dados IHS'!$C$1:$C$676,0),MATCH($O$1,'Base de dados IHS'!$A$1:$V$1,0))</f>
        <v>2233583.9807687998</v>
      </c>
      <c r="P51" s="11">
        <f>INDEX('Base de dados IHS'!$A$1:$V$676,MATCH($N51,'Base de dados IHS'!$C$1:$C$676,0),MATCH($P$1,'Base de dados IHS'!$A$1:$V$1,0))</f>
        <v>2928405.219999</v>
      </c>
      <c r="Q51" s="131">
        <f>INDEX('Base de dados IHS'!$A$1:$V$676,MATCH($N51,'Base de dados IHS'!$C$1:$C$676,0),MATCH($Q$1,'Base de dados IHS'!$A$1:$V$1,0))</f>
        <v>1.887355776920016E-3</v>
      </c>
      <c r="R51" s="131">
        <f>INDEX('Base de dados IHS'!$A$1:$V$676,MATCH($N51,'Base de dados IHS'!$C$1:$C$676,0),MATCH($R$1,'Base de dados IHS'!$A$1:$V$1,0))</f>
        <v>1.5040323717670141E-3</v>
      </c>
      <c r="S51" s="131">
        <f>INDEX('Base de dados IHS'!$A$1:$V$676,MATCH($N51,'Base de dados IHS'!$C$1:$C$676,0),MATCH($S$1,'Base de dados IHS'!$A$1:$V$1,0))</f>
        <v>-3.8332340515300194E-4</v>
      </c>
      <c r="T51" t="str">
        <f>IF(Q51&lt;'Cenario A ranking setor PIB'!$G$128,"N","Y")</f>
        <v>N</v>
      </c>
    </row>
    <row r="52" spans="1:20" hidden="1" x14ac:dyDescent="0.45">
      <c r="A52" s="293" t="s">
        <v>159</v>
      </c>
      <c r="B52" s="297" t="s">
        <v>4</v>
      </c>
      <c r="C52" s="297" t="s">
        <v>958</v>
      </c>
      <c r="D52" s="311">
        <v>141.52434625000001</v>
      </c>
      <c r="E52" s="311">
        <v>149.46095635</v>
      </c>
      <c r="F52" s="302">
        <f t="shared" si="3"/>
        <v>5.6079468376275976E-2</v>
      </c>
      <c r="G52" s="311">
        <v>137.47624432000001</v>
      </c>
      <c r="H52" s="311">
        <v>149.46095635</v>
      </c>
      <c r="I52" s="302">
        <f t="shared" si="4"/>
        <v>8.7176603414503173E-2</v>
      </c>
      <c r="J52" s="311">
        <v>182.43531535</v>
      </c>
      <c r="K52" s="311">
        <v>193.56809795999999</v>
      </c>
      <c r="L52" s="311">
        <v>197.16855874000001</v>
      </c>
      <c r="M52" s="312">
        <v>208.63915847000001</v>
      </c>
      <c r="N52" t="str">
        <f t="shared" si="5"/>
        <v>KuwaitManufacture of computer, electronic and optical products (C26)</v>
      </c>
      <c r="O52" s="11">
        <f>INDEX('Base de dados IHS'!$A$1:$V$676,MATCH($N52,'Base de dados IHS'!$C$1:$C$676,0),MATCH($O$1,'Base de dados IHS'!$A$1:$V$1,0))</f>
        <v>136318.13330372999</v>
      </c>
      <c r="P52" s="11">
        <f>INDEX('Base de dados IHS'!$A$1:$V$676,MATCH($N52,'Base de dados IHS'!$C$1:$C$676,0),MATCH($P$1,'Base de dados IHS'!$A$1:$V$1,0))</f>
        <v>128320.86664452001</v>
      </c>
      <c r="Q52" s="131">
        <f>INDEX('Base de dados IHS'!$A$1:$V$676,MATCH($N52,'Base de dados IHS'!$C$1:$C$676,0),MATCH($Q$1,'Base de dados IHS'!$A$1:$V$1,0))</f>
        <v>1.0084956490248413E-3</v>
      </c>
      <c r="R52" s="131">
        <f>INDEX('Base de dados IHS'!$A$1:$V$676,MATCH($N52,'Base de dados IHS'!$C$1:$C$676,0),MATCH($R$1,'Base de dados IHS'!$A$1:$V$1,0))</f>
        <v>1.1647439754599164E-3</v>
      </c>
      <c r="S52" s="131">
        <f>INDEX('Base de dados IHS'!$A$1:$V$676,MATCH($N52,'Base de dados IHS'!$C$1:$C$676,0),MATCH($S$1,'Base de dados IHS'!$A$1:$V$1,0))</f>
        <v>1.5624832643507504E-4</v>
      </c>
      <c r="T52" t="str">
        <f>IF(Q52&lt;'Cenario A ranking setor PIB'!$G$128,"N","Y")</f>
        <v>N</v>
      </c>
    </row>
    <row r="53" spans="1:20" hidden="1" x14ac:dyDescent="0.45">
      <c r="A53" s="293" t="s">
        <v>142</v>
      </c>
      <c r="B53" s="297" t="s">
        <v>4</v>
      </c>
      <c r="C53" s="297" t="s">
        <v>958</v>
      </c>
      <c r="D53" s="311">
        <v>523.22956599999998</v>
      </c>
      <c r="E53" s="311">
        <v>515.60966852000001</v>
      </c>
      <c r="F53" s="302">
        <f t="shared" si="3"/>
        <v>-1.4563201269860881E-2</v>
      </c>
      <c r="G53" s="311">
        <v>557.57341395000003</v>
      </c>
      <c r="H53" s="311">
        <v>515.60966852000001</v>
      </c>
      <c r="I53" s="302">
        <f t="shared" si="4"/>
        <v>-7.5261381515157932E-2</v>
      </c>
      <c r="J53" s="311">
        <v>488.47347123999998</v>
      </c>
      <c r="K53" s="311">
        <v>542.87068269999997</v>
      </c>
      <c r="L53" s="311">
        <v>588.29627805999996</v>
      </c>
      <c r="M53" s="312">
        <v>719.27876988000003</v>
      </c>
      <c r="N53" t="str">
        <f t="shared" si="5"/>
        <v>ArgentinaManufacture of computer, electronic and optical products (C26)</v>
      </c>
      <c r="O53" s="11">
        <f>INDEX('Base de dados IHS'!$A$1:$V$676,MATCH($N53,'Base de dados IHS'!$C$1:$C$676,0),MATCH($O$1,'Base de dados IHS'!$A$1:$V$1,0))</f>
        <v>464976.94374428003</v>
      </c>
      <c r="P53" s="11">
        <f>INDEX('Base de dados IHS'!$A$1:$V$676,MATCH($N53,'Base de dados IHS'!$C$1:$C$676,0),MATCH($P$1,'Base de dados IHS'!$A$1:$V$1,0))</f>
        <v>445673.70595729002</v>
      </c>
      <c r="Q53" s="131">
        <f>INDEX('Base de dados IHS'!$A$1:$V$676,MATCH($N53,'Base de dados IHS'!$C$1:$C$676,0),MATCH($Q$1,'Base de dados IHS'!$A$1:$V$1,0))</f>
        <v>1.1991420681207897E-3</v>
      </c>
      <c r="R53" s="131">
        <f>INDEX('Base de dados IHS'!$A$1:$V$676,MATCH($N53,'Base de dados IHS'!$C$1:$C$676,0),MATCH($R$1,'Base de dados IHS'!$A$1:$V$1,0))</f>
        <v>1.1569218951620452E-3</v>
      </c>
      <c r="S53" s="131">
        <f>INDEX('Base de dados IHS'!$A$1:$V$676,MATCH($N53,'Base de dados IHS'!$C$1:$C$676,0),MATCH($S$1,'Base de dados IHS'!$A$1:$V$1,0))</f>
        <v>-4.222017295874448E-5</v>
      </c>
      <c r="T53" t="str">
        <f>IF(Q53&lt;'Cenario A ranking setor PIB'!$G$128,"N","Y")</f>
        <v>N</v>
      </c>
    </row>
    <row r="54" spans="1:20" hidden="1" x14ac:dyDescent="0.45">
      <c r="A54" s="293" t="s">
        <v>176</v>
      </c>
      <c r="B54" s="297" t="s">
        <v>4</v>
      </c>
      <c r="C54" s="297" t="s">
        <v>958</v>
      </c>
      <c r="D54" s="311">
        <v>95.954376719999999</v>
      </c>
      <c r="E54" s="311">
        <v>46.078384700000001</v>
      </c>
      <c r="F54" s="302">
        <f t="shared" si="3"/>
        <v>-0.51978860917976477</v>
      </c>
      <c r="G54" s="311">
        <v>81.086365850000007</v>
      </c>
      <c r="H54" s="311">
        <v>46.078384700000001</v>
      </c>
      <c r="I54" s="302">
        <f t="shared" si="4"/>
        <v>-0.43173696074578738</v>
      </c>
      <c r="J54" s="311">
        <v>46.546768559999997</v>
      </c>
      <c r="K54" s="311">
        <v>48.198960219999996</v>
      </c>
      <c r="L54" s="311">
        <v>49.502349129999999</v>
      </c>
      <c r="M54" s="312">
        <v>52.549743360000001</v>
      </c>
      <c r="N54" t="str">
        <f t="shared" si="5"/>
        <v>JordanManufacture of computer, electronic and optical products (C26)</v>
      </c>
      <c r="O54" s="11">
        <f>INDEX('Base de dados IHS'!$A$1:$V$676,MATCH($N54,'Base de dados IHS'!$C$1:$C$676,0),MATCH($O$1,'Base de dados IHS'!$A$1:$V$1,0))</f>
        <v>41181.394892199998</v>
      </c>
      <c r="P54" s="11">
        <f>INDEX('Base de dados IHS'!$A$1:$V$676,MATCH($N54,'Base de dados IHS'!$C$1:$C$676,0),MATCH($P$1,'Base de dados IHS'!$A$1:$V$1,0))</f>
        <v>44841.419332370002</v>
      </c>
      <c r="Q54" s="131">
        <f>INDEX('Base de dados IHS'!$A$1:$V$676,MATCH($N54,'Base de dados IHS'!$C$1:$C$676,0),MATCH($Q$1,'Base de dados IHS'!$A$1:$V$1,0))</f>
        <v>1.9690048397403423E-3</v>
      </c>
      <c r="R54" s="131">
        <f>INDEX('Base de dados IHS'!$A$1:$V$676,MATCH($N54,'Base de dados IHS'!$C$1:$C$676,0),MATCH($R$1,'Base de dados IHS'!$A$1:$V$1,0))</f>
        <v>1.0275853303942379E-3</v>
      </c>
      <c r="S54" s="131">
        <f>INDEX('Base de dados IHS'!$A$1:$V$676,MATCH($N54,'Base de dados IHS'!$C$1:$C$676,0),MATCH($S$1,'Base de dados IHS'!$A$1:$V$1,0))</f>
        <v>-9.4141950934610434E-4</v>
      </c>
      <c r="T54" t="str">
        <f>IF(Q54&lt;'Cenario A ranking setor PIB'!$G$128,"N","Y")</f>
        <v>N</v>
      </c>
    </row>
    <row r="55" spans="1:20" hidden="1" x14ac:dyDescent="0.45">
      <c r="A55" s="293" t="s">
        <v>145</v>
      </c>
      <c r="B55" s="297" t="s">
        <v>4</v>
      </c>
      <c r="C55" s="297" t="s">
        <v>958</v>
      </c>
      <c r="D55" s="311">
        <v>383.21183127</v>
      </c>
      <c r="E55" s="311">
        <v>388.43431720000001</v>
      </c>
      <c r="F55" s="302">
        <f t="shared" si="3"/>
        <v>1.3628195958074185E-2</v>
      </c>
      <c r="G55" s="311">
        <v>485.63792854000002</v>
      </c>
      <c r="H55" s="311">
        <v>388.43431720000001</v>
      </c>
      <c r="I55" s="302">
        <f t="shared" si="4"/>
        <v>-0.20015654797027194</v>
      </c>
      <c r="J55" s="311">
        <v>468.95543961999999</v>
      </c>
      <c r="K55" s="311">
        <v>502.15254192999998</v>
      </c>
      <c r="L55" s="311">
        <v>531.65180051000004</v>
      </c>
      <c r="M55" s="312">
        <v>601.02125030000002</v>
      </c>
      <c r="N55" t="str">
        <f t="shared" si="5"/>
        <v>South AfricaManufacture of computer, electronic and optical products (C26)</v>
      </c>
      <c r="O55" s="11">
        <f>INDEX('Base de dados IHS'!$A$1:$V$676,MATCH($N55,'Base de dados IHS'!$C$1:$C$676,0),MATCH($O$1,'Base de dados IHS'!$A$1:$V$1,0))</f>
        <v>375376.48654821003</v>
      </c>
      <c r="P55" s="11">
        <f>INDEX('Base de dados IHS'!$A$1:$V$676,MATCH($N55,'Base de dados IHS'!$C$1:$C$676,0),MATCH($P$1,'Base de dados IHS'!$A$1:$V$1,0))</f>
        <v>383209.69906191999</v>
      </c>
      <c r="Q55" s="131">
        <f>INDEX('Base de dados IHS'!$A$1:$V$676,MATCH($N55,'Base de dados IHS'!$C$1:$C$676,0),MATCH($Q$1,'Base de dados IHS'!$A$1:$V$1,0))</f>
        <v>1.2937356119604177E-3</v>
      </c>
      <c r="R55" s="131">
        <f>INDEX('Base de dados IHS'!$A$1:$V$676,MATCH($N55,'Base de dados IHS'!$C$1:$C$676,0),MATCH($R$1,'Base de dados IHS'!$A$1:$V$1,0))</f>
        <v>1.0136338358628962E-3</v>
      </c>
      <c r="S55" s="131">
        <f>INDEX('Base de dados IHS'!$A$1:$V$676,MATCH($N55,'Base de dados IHS'!$C$1:$C$676,0),MATCH($S$1,'Base de dados IHS'!$A$1:$V$1,0))</f>
        <v>-2.8010177609752158E-4</v>
      </c>
      <c r="T55" t="str">
        <f>IF(Q55&lt;'Cenario A ranking setor PIB'!$G$128,"N","Y")</f>
        <v>N</v>
      </c>
    </row>
    <row r="56" spans="1:20" hidden="1" x14ac:dyDescent="0.45">
      <c r="A56" s="293" t="s">
        <v>169</v>
      </c>
      <c r="B56" s="297" t="s">
        <v>4</v>
      </c>
      <c r="C56" s="297" t="s">
        <v>958</v>
      </c>
      <c r="D56" s="311">
        <v>49.840107150000001</v>
      </c>
      <c r="E56" s="311">
        <v>65.314274190000006</v>
      </c>
      <c r="F56" s="302">
        <f t="shared" si="3"/>
        <v>0.31047619928722403</v>
      </c>
      <c r="G56" s="311">
        <v>57.82636892</v>
      </c>
      <c r="H56" s="311">
        <v>65.314274190000006</v>
      </c>
      <c r="I56" s="302">
        <f t="shared" si="4"/>
        <v>0.12948945973694403</v>
      </c>
      <c r="J56" s="311">
        <v>77.682482759999999</v>
      </c>
      <c r="K56" s="311">
        <v>88.065367219999999</v>
      </c>
      <c r="L56" s="311">
        <v>97.110729770000006</v>
      </c>
      <c r="M56" s="312">
        <v>122.41878909</v>
      </c>
      <c r="N56" t="str">
        <f t="shared" si="5"/>
        <v>Costa RicaManufacture of computer, electronic and optical products (C26)</v>
      </c>
      <c r="O56" s="11">
        <f>INDEX('Base de dados IHS'!$A$1:$V$676,MATCH($N56,'Base de dados IHS'!$C$1:$C$676,0),MATCH($O$1,'Base de dados IHS'!$A$1:$V$1,0))</f>
        <v>56790.776904650003</v>
      </c>
      <c r="P56" s="11">
        <f>INDEX('Base de dados IHS'!$A$1:$V$676,MATCH($N56,'Base de dados IHS'!$C$1:$C$676,0),MATCH($P$1,'Base de dados IHS'!$A$1:$V$1,0))</f>
        <v>66933.267445050005</v>
      </c>
      <c r="Q56" s="131">
        <f>INDEX('Base de dados IHS'!$A$1:$V$676,MATCH($N56,'Base de dados IHS'!$C$1:$C$676,0),MATCH($Q$1,'Base de dados IHS'!$A$1:$V$1,0))</f>
        <v>1.0182352147970915E-3</v>
      </c>
      <c r="R56" s="131">
        <f>INDEX('Base de dados IHS'!$A$1:$V$676,MATCH($N56,'Base de dados IHS'!$C$1:$C$676,0),MATCH($R$1,'Base de dados IHS'!$A$1:$V$1,0))</f>
        <v>9.7581182994870019E-4</v>
      </c>
      <c r="S56" s="131">
        <f>INDEX('Base de dados IHS'!$A$1:$V$676,MATCH($N56,'Base de dados IHS'!$C$1:$C$676,0),MATCH($S$1,'Base de dados IHS'!$A$1:$V$1,0))</f>
        <v>-4.2423384848391311E-5</v>
      </c>
      <c r="T56" t="str">
        <f>IF(Q56&lt;'Cenario A ranking setor PIB'!$G$128,"N","Y")</f>
        <v>N</v>
      </c>
    </row>
    <row r="57" spans="1:20" hidden="1" x14ac:dyDescent="0.45">
      <c r="A57" s="293" t="s">
        <v>146</v>
      </c>
      <c r="B57" s="297" t="s">
        <v>4</v>
      </c>
      <c r="C57" s="297" t="s">
        <v>958</v>
      </c>
      <c r="D57" s="311">
        <v>264.71798632999997</v>
      </c>
      <c r="E57" s="311">
        <v>348.77080776999998</v>
      </c>
      <c r="F57" s="302">
        <f t="shared" si="3"/>
        <v>0.31751836210788853</v>
      </c>
      <c r="G57" s="311">
        <v>303.00847931999999</v>
      </c>
      <c r="H57" s="311">
        <v>348.77080776999998</v>
      </c>
      <c r="I57" s="302">
        <f t="shared" si="4"/>
        <v>0.15102656055268837</v>
      </c>
      <c r="J57" s="311">
        <v>378.45537107000001</v>
      </c>
      <c r="K57" s="311">
        <v>449.71411662999998</v>
      </c>
      <c r="L57" s="311">
        <v>502.62266684000002</v>
      </c>
      <c r="M57" s="312">
        <v>654.24813302999996</v>
      </c>
      <c r="N57" t="str">
        <f t="shared" si="5"/>
        <v>EgyptManufacture of computer, electronic and optical products (C26)</v>
      </c>
      <c r="O57" s="11">
        <f>INDEX('Base de dados IHS'!$A$1:$V$676,MATCH($N57,'Base de dados IHS'!$C$1:$C$676,0),MATCH($O$1,'Base de dados IHS'!$A$1:$V$1,0))</f>
        <v>276522.47435759002</v>
      </c>
      <c r="P57" s="11">
        <f>INDEX('Base de dados IHS'!$A$1:$V$676,MATCH($N57,'Base de dados IHS'!$C$1:$C$676,0),MATCH($P$1,'Base de dados IHS'!$A$1:$V$1,0))</f>
        <v>357883.01385108999</v>
      </c>
      <c r="Q57" s="131">
        <f>INDEX('Base de dados IHS'!$A$1:$V$676,MATCH($N57,'Base de dados IHS'!$C$1:$C$676,0),MATCH($Q$1,'Base de dados IHS'!$A$1:$V$1,0))</f>
        <v>1.0957824676780489E-3</v>
      </c>
      <c r="R57" s="131">
        <f>INDEX('Base de dados IHS'!$A$1:$V$676,MATCH($N57,'Base de dados IHS'!$C$1:$C$676,0),MATCH($R$1,'Base de dados IHS'!$A$1:$V$1,0))</f>
        <v>9.7453859018611748E-4</v>
      </c>
      <c r="S57" s="131">
        <f>INDEX('Base de dados IHS'!$A$1:$V$676,MATCH($N57,'Base de dados IHS'!$C$1:$C$676,0),MATCH($S$1,'Base de dados IHS'!$A$1:$V$1,0))</f>
        <v>-1.2124387749193138E-4</v>
      </c>
      <c r="T57" t="str">
        <f>IF(Q57&lt;'Cenario A ranking setor PIB'!$G$128,"N","Y")</f>
        <v>N</v>
      </c>
    </row>
    <row r="58" spans="1:20" hidden="1" x14ac:dyDescent="0.45">
      <c r="A58" s="293" t="s">
        <v>168</v>
      </c>
      <c r="B58" s="297" t="s">
        <v>4</v>
      </c>
      <c r="C58" s="297" t="s">
        <v>958</v>
      </c>
      <c r="D58" s="311">
        <v>42.349770970000002</v>
      </c>
      <c r="E58" s="311">
        <v>38.072164749999999</v>
      </c>
      <c r="F58" s="302">
        <f t="shared" si="3"/>
        <v>-0.10100659630556685</v>
      </c>
      <c r="G58" s="311">
        <v>38.856499880000001</v>
      </c>
      <c r="H58" s="311">
        <v>38.072164749999999</v>
      </c>
      <c r="I58" s="302">
        <f t="shared" si="4"/>
        <v>-2.0185429269806932E-2</v>
      </c>
      <c r="J58" s="311">
        <v>42.047411169999997</v>
      </c>
      <c r="K58" s="311">
        <v>48.2943037</v>
      </c>
      <c r="L58" s="311">
        <v>53.611825289999999</v>
      </c>
      <c r="M58" s="312">
        <v>67.334652019999993</v>
      </c>
      <c r="N58" t="str">
        <f t="shared" si="5"/>
        <v>TunisiaManufacture of computer, electronic and optical products (C26)</v>
      </c>
      <c r="O58" s="11">
        <f>INDEX('Base de dados IHS'!$A$1:$V$676,MATCH($N58,'Base de dados IHS'!$C$1:$C$676,0),MATCH($O$1,'Base de dados IHS'!$A$1:$V$1,0))</f>
        <v>38884.65391288</v>
      </c>
      <c r="P58" s="11">
        <f>INDEX('Base de dados IHS'!$A$1:$V$676,MATCH($N58,'Base de dados IHS'!$C$1:$C$676,0),MATCH($P$1,'Base de dados IHS'!$A$1:$V$1,0))</f>
        <v>40072.692608359997</v>
      </c>
      <c r="Q58" s="131">
        <f>INDEX('Base de dados IHS'!$A$1:$V$676,MATCH($N58,'Base de dados IHS'!$C$1:$C$676,0),MATCH($Q$1,'Base de dados IHS'!$A$1:$V$1,0))</f>
        <v>9.9927596030703852E-4</v>
      </c>
      <c r="R58" s="131">
        <f>INDEX('Base de dados IHS'!$A$1:$V$676,MATCH($N58,'Base de dados IHS'!$C$1:$C$676,0),MATCH($R$1,'Base de dados IHS'!$A$1:$V$1,0))</f>
        <v>9.5007752840789526E-4</v>
      </c>
      <c r="S58" s="131">
        <f>INDEX('Base de dados IHS'!$A$1:$V$676,MATCH($N58,'Base de dados IHS'!$C$1:$C$676,0),MATCH($S$1,'Base de dados IHS'!$A$1:$V$1,0))</f>
        <v>-4.9198431899143266E-5</v>
      </c>
      <c r="T58" t="str">
        <f>IF(Q58&lt;'Cenario A ranking setor PIB'!$G$128,"N","Y")</f>
        <v>N</v>
      </c>
    </row>
    <row r="59" spans="1:20" hidden="1" x14ac:dyDescent="0.45">
      <c r="A59" s="293" t="s">
        <v>170</v>
      </c>
      <c r="B59" s="297" t="s">
        <v>4</v>
      </c>
      <c r="C59" s="297" t="s">
        <v>958</v>
      </c>
      <c r="D59" s="311">
        <v>46.091324149999998</v>
      </c>
      <c r="E59" s="311">
        <v>226.97172477999999</v>
      </c>
      <c r="F59" s="302">
        <f t="shared" si="3"/>
        <v>3.9243914980906442</v>
      </c>
      <c r="G59" s="311">
        <v>262.65182876</v>
      </c>
      <c r="H59" s="311">
        <v>226.97172477999999</v>
      </c>
      <c r="I59" s="302">
        <f t="shared" si="4"/>
        <v>-0.13584563316558118</v>
      </c>
      <c r="J59" s="311">
        <v>271.9011155</v>
      </c>
      <c r="K59" s="311">
        <v>310.47497140000002</v>
      </c>
      <c r="L59" s="311">
        <v>341.07666854000001</v>
      </c>
      <c r="M59" s="312">
        <v>414.16620633999997</v>
      </c>
      <c r="N59" t="str">
        <f t="shared" si="5"/>
        <v>ChileManufacture of computer, electronic and optical products (C26)</v>
      </c>
      <c r="O59" s="11">
        <f>INDEX('Base de dados IHS'!$A$1:$V$676,MATCH($N59,'Base de dados IHS'!$C$1:$C$676,0),MATCH($O$1,'Base de dados IHS'!$A$1:$V$1,0))</f>
        <v>257576.69277617999</v>
      </c>
      <c r="P59" s="11">
        <f>INDEX('Base de dados IHS'!$A$1:$V$676,MATCH($N59,'Base de dados IHS'!$C$1:$C$676,0),MATCH($P$1,'Base de dados IHS'!$A$1:$V$1,0))</f>
        <v>291863.26262717001</v>
      </c>
      <c r="Q59" s="131">
        <f>INDEX('Base de dados IHS'!$A$1:$V$676,MATCH($N59,'Base de dados IHS'!$C$1:$C$676,0),MATCH($Q$1,'Base de dados IHS'!$A$1:$V$1,0))</f>
        <v>1.0197033975749895E-3</v>
      </c>
      <c r="R59" s="131">
        <f>INDEX('Base de dados IHS'!$A$1:$V$676,MATCH($N59,'Base de dados IHS'!$C$1:$C$676,0),MATCH($R$1,'Base de dados IHS'!$A$1:$V$1,0))</f>
        <v>7.7766459107234977E-4</v>
      </c>
      <c r="S59" s="131">
        <f>INDEX('Base de dados IHS'!$A$1:$V$676,MATCH($N59,'Base de dados IHS'!$C$1:$C$676,0),MATCH($S$1,'Base de dados IHS'!$A$1:$V$1,0))</f>
        <v>-2.4203880650263971E-4</v>
      </c>
      <c r="T59" t="str">
        <f>IF(Q59&lt;'Cenario A ranking setor PIB'!$G$128,"N","Y")</f>
        <v>N</v>
      </c>
    </row>
    <row r="60" spans="1:20" s="6" customFormat="1" hidden="1" x14ac:dyDescent="0.45">
      <c r="A60" s="293" t="s">
        <v>124</v>
      </c>
      <c r="B60" s="297" t="s">
        <v>4</v>
      </c>
      <c r="C60" s="297" t="s">
        <v>958</v>
      </c>
      <c r="D60" s="311">
        <v>102.76803494000001</v>
      </c>
      <c r="E60" s="311">
        <v>283.15852773</v>
      </c>
      <c r="F60" s="302">
        <f t="shared" si="3"/>
        <v>1.7553171362605018</v>
      </c>
      <c r="G60" s="311">
        <v>170.48056585</v>
      </c>
      <c r="H60" s="311">
        <v>283.15852773</v>
      </c>
      <c r="I60" s="302">
        <f t="shared" si="4"/>
        <v>0.66094314808376153</v>
      </c>
      <c r="J60" s="311">
        <v>351.76013132999998</v>
      </c>
      <c r="K60" s="311">
        <v>462.50057243999998</v>
      </c>
      <c r="L60" s="311">
        <v>556.44384219999995</v>
      </c>
      <c r="M60" s="312">
        <v>816.89887155999998</v>
      </c>
      <c r="N60" t="str">
        <f t="shared" si="5"/>
        <v>BangladeshManufacture of computer, electronic and optical products (C26)</v>
      </c>
      <c r="O60" s="11">
        <f>INDEX('Base de dados IHS'!$A$1:$V$676,MATCH($N60,'Base de dados IHS'!$C$1:$C$676,0),MATCH($O$1,'Base de dados IHS'!$A$1:$V$1,0))</f>
        <v>264392.25455249997</v>
      </c>
      <c r="P60" s="11">
        <f>INDEX('Base de dados IHS'!$A$1:$V$676,MATCH($N60,'Base de dados IHS'!$C$1:$C$676,0),MATCH($P$1,'Base de dados IHS'!$A$1:$V$1,0))</f>
        <v>386628.84638325998</v>
      </c>
      <c r="Q60" s="131">
        <f>INDEX('Base de dados IHS'!$A$1:$V$676,MATCH($N60,'Base de dados IHS'!$C$1:$C$676,0),MATCH($Q$1,'Base de dados IHS'!$A$1:$V$1,0))</f>
        <v>6.4480166462723635E-4</v>
      </c>
      <c r="R60" s="131">
        <f>INDEX('Base de dados IHS'!$A$1:$V$676,MATCH($N60,'Base de dados IHS'!$C$1:$C$676,0),MATCH($R$1,'Base de dados IHS'!$A$1:$V$1,0))</f>
        <v>7.323781719310948E-4</v>
      </c>
      <c r="S60" s="131">
        <f>INDEX('Base de dados IHS'!$A$1:$V$676,MATCH($N60,'Base de dados IHS'!$C$1:$C$676,0),MATCH($S$1,'Base de dados IHS'!$A$1:$V$1,0))</f>
        <v>8.7576507303858443E-5</v>
      </c>
      <c r="T60" t="str">
        <f>IF(Q60&lt;'Cenario A ranking setor PIB'!$G$128,"N","Y")</f>
        <v>N</v>
      </c>
    </row>
    <row r="61" spans="1:20" hidden="1" x14ac:dyDescent="0.45">
      <c r="A61" s="293" t="s">
        <v>175</v>
      </c>
      <c r="B61" s="297" t="s">
        <v>4</v>
      </c>
      <c r="C61" s="297" t="s">
        <v>958</v>
      </c>
      <c r="D61" s="311">
        <v>26.540485220000001</v>
      </c>
      <c r="E61" s="311">
        <v>36.495745550000002</v>
      </c>
      <c r="F61" s="302">
        <f t="shared" si="3"/>
        <v>0.37509714865717902</v>
      </c>
      <c r="G61" s="311">
        <v>30.304613419999999</v>
      </c>
      <c r="H61" s="311">
        <v>36.495745550000002</v>
      </c>
      <c r="I61" s="302">
        <f t="shared" si="4"/>
        <v>0.20429668724676975</v>
      </c>
      <c r="J61" s="311">
        <v>42.659660479999999</v>
      </c>
      <c r="K61" s="311">
        <v>52.386633269999997</v>
      </c>
      <c r="L61" s="311">
        <v>60.852253210000001</v>
      </c>
      <c r="M61" s="312">
        <v>84.663138979999999</v>
      </c>
      <c r="N61" t="str">
        <f t="shared" si="5"/>
        <v>KenyaManufacture of computer, electronic and optical products (C26)</v>
      </c>
      <c r="O61" s="11">
        <f>INDEX('Base de dados IHS'!$A$1:$V$676,MATCH($N61,'Base de dados IHS'!$C$1:$C$676,0),MATCH($O$1,'Base de dados IHS'!$A$1:$V$1,0))</f>
        <v>83525.195225389994</v>
      </c>
      <c r="P61" s="11">
        <f>INDEX('Base de dados IHS'!$A$1:$V$676,MATCH($N61,'Base de dados IHS'!$C$1:$C$676,0),MATCH($P$1,'Base de dados IHS'!$A$1:$V$1,0))</f>
        <v>107697.99713524</v>
      </c>
      <c r="Q61" s="131">
        <f>INDEX('Base de dados IHS'!$A$1:$V$676,MATCH($N61,'Base de dados IHS'!$C$1:$C$676,0),MATCH($Q$1,'Base de dados IHS'!$A$1:$V$1,0))</f>
        <v>3.6282002500232408E-4</v>
      </c>
      <c r="R61" s="131">
        <f>INDEX('Base de dados IHS'!$A$1:$V$676,MATCH($N61,'Base de dados IHS'!$C$1:$C$676,0),MATCH($R$1,'Base de dados IHS'!$A$1:$V$1,0))</f>
        <v>3.3887116307437977E-4</v>
      </c>
      <c r="S61" s="131">
        <f>INDEX('Base de dados IHS'!$A$1:$V$676,MATCH($N61,'Base de dados IHS'!$C$1:$C$676,0),MATCH($S$1,'Base de dados IHS'!$A$1:$V$1,0))</f>
        <v>-2.394886192794431E-5</v>
      </c>
      <c r="T61" t="str">
        <f>IF(Q61&lt;'Cenario A ranking setor PIB'!$G$128,"N","Y")</f>
        <v>N</v>
      </c>
    </row>
    <row r="62" spans="1:20" hidden="1" x14ac:dyDescent="0.45">
      <c r="A62" s="293" t="s">
        <v>158</v>
      </c>
      <c r="B62" s="297" t="s">
        <v>4</v>
      </c>
      <c r="C62" s="297" t="s">
        <v>958</v>
      </c>
      <c r="D62" s="311">
        <v>11.56539828</v>
      </c>
      <c r="E62" s="311">
        <v>23.461420520000001</v>
      </c>
      <c r="F62" s="302">
        <f t="shared" si="3"/>
        <v>1.0285873388875633</v>
      </c>
      <c r="G62" s="311">
        <v>16.724241760000002</v>
      </c>
      <c r="H62" s="311">
        <v>23.461420520000001</v>
      </c>
      <c r="I62" s="302">
        <f t="shared" si="4"/>
        <v>0.40283911561919439</v>
      </c>
      <c r="J62" s="311">
        <v>28.60008522</v>
      </c>
      <c r="K62" s="311">
        <v>35.033084379999998</v>
      </c>
      <c r="L62" s="311">
        <v>40.655642520000001</v>
      </c>
      <c r="M62" s="312">
        <v>57.213219039999998</v>
      </c>
      <c r="N62" t="str">
        <f t="shared" si="5"/>
        <v>GhanaManufacture of computer, electronic and optical products (C26)</v>
      </c>
      <c r="O62" s="11">
        <f>INDEX('Base de dados IHS'!$A$1:$V$676,MATCH($N62,'Base de dados IHS'!$C$1:$C$676,0),MATCH($O$1,'Base de dados IHS'!$A$1:$V$1,0))</f>
        <v>54050.698328470004</v>
      </c>
      <c r="P62" s="11">
        <f>INDEX('Base de dados IHS'!$A$1:$V$676,MATCH($N62,'Base de dados IHS'!$C$1:$C$676,0),MATCH($P$1,'Base de dados IHS'!$A$1:$V$1,0))</f>
        <v>72367.878986030002</v>
      </c>
      <c r="Q62" s="131">
        <f>INDEX('Base de dados IHS'!$A$1:$V$676,MATCH($N62,'Base de dados IHS'!$C$1:$C$676,0),MATCH($Q$1,'Base de dados IHS'!$A$1:$V$1,0))</f>
        <v>3.0941768149535411E-4</v>
      </c>
      <c r="R62" s="131">
        <f>INDEX('Base de dados IHS'!$A$1:$V$676,MATCH($N62,'Base de dados IHS'!$C$1:$C$676,0),MATCH($R$1,'Base de dados IHS'!$A$1:$V$1,0))</f>
        <v>3.2419660281226463E-4</v>
      </c>
      <c r="S62" s="131">
        <f>INDEX('Base de dados IHS'!$A$1:$V$676,MATCH($N62,'Base de dados IHS'!$C$1:$C$676,0),MATCH($S$1,'Base de dados IHS'!$A$1:$V$1,0))</f>
        <v>1.4778921316910526E-5</v>
      </c>
      <c r="T62" t="str">
        <f>IF(Q62&lt;'Cenario A ranking setor PIB'!$G$128,"N","Y")</f>
        <v>N</v>
      </c>
    </row>
    <row r="63" spans="1:20" hidden="1" x14ac:dyDescent="0.45">
      <c r="A63" s="293" t="s">
        <v>147</v>
      </c>
      <c r="B63" s="297" t="s">
        <v>4</v>
      </c>
      <c r="C63" s="297" t="s">
        <v>958</v>
      </c>
      <c r="D63" s="311">
        <v>55.425594390000001</v>
      </c>
      <c r="E63" s="311">
        <v>74.226626550000006</v>
      </c>
      <c r="F63" s="302">
        <f t="shared" si="3"/>
        <v>0.33921209807345121</v>
      </c>
      <c r="G63" s="311">
        <v>58.679839469999997</v>
      </c>
      <c r="H63" s="311">
        <v>74.226626550000006</v>
      </c>
      <c r="I63" s="302">
        <f t="shared" si="4"/>
        <v>0.26494256324522292</v>
      </c>
      <c r="J63" s="311">
        <v>78.267836380000006</v>
      </c>
      <c r="K63" s="311">
        <v>84.386585710000006</v>
      </c>
      <c r="L63" s="311">
        <v>89.138554400000004</v>
      </c>
      <c r="M63" s="312">
        <v>99.301546490000007</v>
      </c>
      <c r="N63" t="str">
        <f t="shared" si="5"/>
        <v>PeruManufacture of computer, electronic and optical products (C26)</v>
      </c>
      <c r="O63" s="11">
        <f>INDEX('Base de dados IHS'!$A$1:$V$676,MATCH($N63,'Base de dados IHS'!$C$1:$C$676,0),MATCH($O$1,'Base de dados IHS'!$A$1:$V$1,0))</f>
        <v>205342.67167914001</v>
      </c>
      <c r="P63" s="11">
        <f>INDEX('Base de dados IHS'!$A$1:$V$676,MATCH($N63,'Base de dados IHS'!$C$1:$C$676,0),MATCH($P$1,'Base de dados IHS'!$A$1:$V$1,0))</f>
        <v>235110.76142220001</v>
      </c>
      <c r="Q63" s="131">
        <f>INDEX('Base de dados IHS'!$A$1:$V$676,MATCH($N63,'Base de dados IHS'!$C$1:$C$676,0),MATCH($Q$1,'Base de dados IHS'!$A$1:$V$1,0))</f>
        <v>2.8576544266303643E-4</v>
      </c>
      <c r="R63" s="131">
        <f>INDEX('Base de dados IHS'!$A$1:$V$676,MATCH($N63,'Base de dados IHS'!$C$1:$C$676,0),MATCH($R$1,'Base de dados IHS'!$A$1:$V$1,0))</f>
        <v>3.157091836247665E-4</v>
      </c>
      <c r="S63" s="131">
        <f>INDEX('Base de dados IHS'!$A$1:$V$676,MATCH($N63,'Base de dados IHS'!$C$1:$C$676,0),MATCH($S$1,'Base de dados IHS'!$A$1:$V$1,0))</f>
        <v>2.9943740961730064E-5</v>
      </c>
      <c r="T63" t="str">
        <f>IF(Q63&lt;'Cenario A ranking setor PIB'!$G$128,"N","Y")</f>
        <v>N</v>
      </c>
    </row>
    <row r="64" spans="1:20" hidden="1" x14ac:dyDescent="0.45">
      <c r="A64" s="293" t="s">
        <v>143</v>
      </c>
      <c r="B64" s="297" t="s">
        <v>4</v>
      </c>
      <c r="C64" s="297" t="s">
        <v>958</v>
      </c>
      <c r="D64" s="311">
        <v>113.74955093</v>
      </c>
      <c r="E64" s="311">
        <v>106.40056671000001</v>
      </c>
      <c r="F64" s="302">
        <f t="shared" si="3"/>
        <v>-6.4606709740089086E-2</v>
      </c>
      <c r="G64" s="311">
        <v>136.54035782</v>
      </c>
      <c r="H64" s="311">
        <v>106.40056671000001</v>
      </c>
      <c r="I64" s="302">
        <f t="shared" si="4"/>
        <v>-0.22073906639187968</v>
      </c>
      <c r="J64" s="311">
        <v>145.54791957</v>
      </c>
      <c r="K64" s="311">
        <v>164.84225433</v>
      </c>
      <c r="L64" s="311">
        <v>179.71219769999999</v>
      </c>
      <c r="M64" s="312">
        <v>216.65918001</v>
      </c>
      <c r="N64" t="str">
        <f t="shared" si="5"/>
        <v>United Arab EmiratesManufacture of computer, electronic and optical products (C26)</v>
      </c>
      <c r="O64" s="11">
        <f>INDEX('Base de dados IHS'!$A$1:$V$676,MATCH($N64,'Base de dados IHS'!$C$1:$C$676,0),MATCH($O$1,'Base de dados IHS'!$A$1:$V$1,0))</f>
        <v>383753.13090967003</v>
      </c>
      <c r="P64" s="11">
        <f>INDEX('Base de dados IHS'!$A$1:$V$676,MATCH($N64,'Base de dados IHS'!$C$1:$C$676,0),MATCH($P$1,'Base de dados IHS'!$A$1:$V$1,0))</f>
        <v>414599.77007557999</v>
      </c>
      <c r="Q64" s="131">
        <f>INDEX('Base de dados IHS'!$A$1:$V$676,MATCH($N64,'Base de dados IHS'!$C$1:$C$676,0),MATCH($Q$1,'Base de dados IHS'!$A$1:$V$1,0))</f>
        <v>3.5580258979604166E-4</v>
      </c>
      <c r="R64" s="131">
        <f>INDEX('Base de dados IHS'!$A$1:$V$676,MATCH($N64,'Base de dados IHS'!$C$1:$C$676,0),MATCH($R$1,'Base de dados IHS'!$A$1:$V$1,0))</f>
        <v>2.566344083852328E-4</v>
      </c>
      <c r="S64" s="131">
        <f>INDEX('Base de dados IHS'!$A$1:$V$676,MATCH($N64,'Base de dados IHS'!$C$1:$C$676,0),MATCH($S$1,'Base de dados IHS'!$A$1:$V$1,0))</f>
        <v>-9.9168181410808857E-5</v>
      </c>
      <c r="T64" t="str">
        <f>IF(Q64&lt;'Cenario A ranking setor PIB'!$G$128,"N","Y")</f>
        <v>N</v>
      </c>
    </row>
    <row r="65" spans="1:20" hidden="1" x14ac:dyDescent="0.45">
      <c r="A65" s="293" t="s">
        <v>172</v>
      </c>
      <c r="B65" s="297" t="s">
        <v>4</v>
      </c>
      <c r="C65" s="297" t="s">
        <v>958</v>
      </c>
      <c r="D65" s="311">
        <v>11.1984862</v>
      </c>
      <c r="E65" s="311">
        <v>14.739842230000001</v>
      </c>
      <c r="F65" s="302">
        <f t="shared" si="3"/>
        <v>0.3162352452602033</v>
      </c>
      <c r="G65" s="311">
        <v>15.224591309999999</v>
      </c>
      <c r="H65" s="311">
        <v>14.739842230000001</v>
      </c>
      <c r="I65" s="302">
        <f t="shared" si="4"/>
        <v>-3.1839874721733885E-2</v>
      </c>
      <c r="J65" s="311">
        <v>21.803787499999999</v>
      </c>
      <c r="K65" s="311">
        <v>25.0270799</v>
      </c>
      <c r="L65" s="311">
        <v>27.43018679</v>
      </c>
      <c r="M65" s="312">
        <v>32.952942659999998</v>
      </c>
      <c r="N65" t="str">
        <f t="shared" si="5"/>
        <v>UruguayManufacture of computer, electronic and optical products (C26)</v>
      </c>
      <c r="O65" s="11">
        <f>INDEX('Base de dados IHS'!$A$1:$V$676,MATCH($N65,'Base de dados IHS'!$C$1:$C$676,0),MATCH($O$1,'Base de dados IHS'!$A$1:$V$1,0))</f>
        <v>59449.563607900003</v>
      </c>
      <c r="P65" s="11">
        <f>INDEX('Base de dados IHS'!$A$1:$V$676,MATCH($N65,'Base de dados IHS'!$C$1:$C$676,0),MATCH($P$1,'Base de dados IHS'!$A$1:$V$1,0))</f>
        <v>61243.536031950003</v>
      </c>
      <c r="Q65" s="131">
        <f>INDEX('Base de dados IHS'!$A$1:$V$676,MATCH($N65,'Base de dados IHS'!$C$1:$C$676,0),MATCH($Q$1,'Base de dados IHS'!$A$1:$V$1,0))</f>
        <v>2.5609256630400003E-4</v>
      </c>
      <c r="R65" s="131">
        <f>INDEX('Base de dados IHS'!$A$1:$V$676,MATCH($N65,'Base de dados IHS'!$C$1:$C$676,0),MATCH($R$1,'Base de dados IHS'!$A$1:$V$1,0))</f>
        <v>2.4067588491804925E-4</v>
      </c>
      <c r="S65" s="131">
        <f>INDEX('Base de dados IHS'!$A$1:$V$676,MATCH($N65,'Base de dados IHS'!$C$1:$C$676,0),MATCH($S$1,'Base de dados IHS'!$A$1:$V$1,0))</f>
        <v>-1.5416681385950785E-5</v>
      </c>
      <c r="T65" t="str">
        <f>IF(Q65&lt;'Cenario A ranking setor PIB'!$G$128,"N","Y")</f>
        <v>N</v>
      </c>
    </row>
    <row r="66" spans="1:20" hidden="1" x14ac:dyDescent="0.45">
      <c r="A66" s="293" t="s">
        <v>154</v>
      </c>
      <c r="B66" s="297" t="s">
        <v>4</v>
      </c>
      <c r="C66" s="297" t="s">
        <v>958</v>
      </c>
      <c r="D66" s="311">
        <v>36.254794969999999</v>
      </c>
      <c r="E66" s="311">
        <v>59.712514609999999</v>
      </c>
      <c r="F66" s="302">
        <f t="shared" ref="F66:F76" si="6">H66/D66-1</f>
        <v>0.64702392219872484</v>
      </c>
      <c r="G66" s="311">
        <v>44.453972419999999</v>
      </c>
      <c r="H66" s="311">
        <v>59.712514609999999</v>
      </c>
      <c r="I66" s="302">
        <f t="shared" ref="I66:I97" si="7">H66/G66-1</f>
        <v>0.34324361489762234</v>
      </c>
      <c r="J66" s="311">
        <v>66.556109620000001</v>
      </c>
      <c r="K66" s="311">
        <v>81.532974100000004</v>
      </c>
      <c r="L66" s="311">
        <v>93.407466709999994</v>
      </c>
      <c r="M66" s="312">
        <v>127.90152754</v>
      </c>
      <c r="N66" t="str">
        <f t="shared" ref="N66:N76" si="8">A66&amp;B66</f>
        <v>PakistanManufacture of computer, electronic and optical products (C26)</v>
      </c>
      <c r="O66" s="11">
        <f>INDEX('Base de dados IHS'!$A$1:$V$676,MATCH($N66,'Base de dados IHS'!$C$1:$C$676,0),MATCH($O$1,'Base de dados IHS'!$A$1:$V$1,0))</f>
        <v>243681.57424943999</v>
      </c>
      <c r="P66" s="11">
        <f>INDEX('Base de dados IHS'!$A$1:$V$676,MATCH($N66,'Base de dados IHS'!$C$1:$C$676,0),MATCH($P$1,'Base de dados IHS'!$A$1:$V$1,0))</f>
        <v>307178.14587732003</v>
      </c>
      <c r="Q66" s="131">
        <f>INDEX('Base de dados IHS'!$A$1:$V$676,MATCH($N66,'Base de dados IHS'!$C$1:$C$676,0),MATCH($Q$1,'Base de dados IHS'!$A$1:$V$1,0))</f>
        <v>1.8242648241633379E-4</v>
      </c>
      <c r="R66" s="131">
        <f>INDEX('Base de dados IHS'!$A$1:$V$676,MATCH($N66,'Base de dados IHS'!$C$1:$C$676,0),MATCH($R$1,'Base de dados IHS'!$A$1:$V$1,0))</f>
        <v>1.9439050404922953E-4</v>
      </c>
      <c r="S66" s="131">
        <f>INDEX('Base de dados IHS'!$A$1:$V$676,MATCH($N66,'Base de dados IHS'!$C$1:$C$676,0),MATCH($S$1,'Base de dados IHS'!$A$1:$V$1,0))</f>
        <v>1.1964021632895747E-5</v>
      </c>
      <c r="T66" t="str">
        <f>IF(Q66&lt;'Cenario A ranking setor PIB'!$G$128,"N","Y")</f>
        <v>N</v>
      </c>
    </row>
    <row r="67" spans="1:20" hidden="1" x14ac:dyDescent="0.45">
      <c r="A67" s="293" t="s">
        <v>167</v>
      </c>
      <c r="B67" s="297" t="s">
        <v>4</v>
      </c>
      <c r="C67" s="297" t="s">
        <v>958</v>
      </c>
      <c r="D67" s="311">
        <v>108.0320772</v>
      </c>
      <c r="E67" s="311">
        <v>66.211617270000005</v>
      </c>
      <c r="F67" s="302">
        <f t="shared" si="6"/>
        <v>-0.38711150441528308</v>
      </c>
      <c r="G67" s="311">
        <v>71.165819420000005</v>
      </c>
      <c r="H67" s="311">
        <v>66.211617270000005</v>
      </c>
      <c r="I67" s="302">
        <f t="shared" si="7"/>
        <v>-6.96149105058671E-2</v>
      </c>
      <c r="J67" s="311">
        <v>65.991477450000005</v>
      </c>
      <c r="K67" s="311">
        <v>65.624845480000005</v>
      </c>
      <c r="L67" s="311">
        <v>65.221194659999995</v>
      </c>
      <c r="M67" s="312">
        <v>65.526207940000006</v>
      </c>
      <c r="N67" t="str">
        <f t="shared" si="8"/>
        <v>Hong Kong SARManufacture of computer, electronic and optical products (C26)</v>
      </c>
      <c r="O67" s="11">
        <f>INDEX('Base de dados IHS'!$A$1:$V$676,MATCH($N67,'Base de dados IHS'!$C$1:$C$676,0),MATCH($O$1,'Base de dados IHS'!$A$1:$V$1,0))</f>
        <v>338559.97086627001</v>
      </c>
      <c r="P67" s="11">
        <f>INDEX('Base de dados IHS'!$A$1:$V$676,MATCH($N67,'Base de dados IHS'!$C$1:$C$676,0),MATCH($P$1,'Base de dados IHS'!$A$1:$V$1,0))</f>
        <v>361197.76240428002</v>
      </c>
      <c r="Q67" s="131">
        <f>INDEX('Base de dados IHS'!$A$1:$V$676,MATCH($N67,'Base de dados IHS'!$C$1:$C$676,0),MATCH($Q$1,'Base de dados IHS'!$A$1:$V$1,0))</f>
        <v>2.1020151684769092E-4</v>
      </c>
      <c r="R67" s="131">
        <f>INDEX('Base de dados IHS'!$A$1:$V$676,MATCH($N67,'Base de dados IHS'!$C$1:$C$676,0),MATCH($R$1,'Base de dados IHS'!$A$1:$V$1,0))</f>
        <v>1.8331126092606002E-4</v>
      </c>
      <c r="S67" s="131">
        <f>INDEX('Base de dados IHS'!$A$1:$V$676,MATCH($N67,'Base de dados IHS'!$C$1:$C$676,0),MATCH($S$1,'Base de dados IHS'!$A$1:$V$1,0))</f>
        <v>-2.6890255921630901E-5</v>
      </c>
      <c r="T67" t="str">
        <f>IF(Q67&lt;'Cenario A ranking setor PIB'!$G$128,"N","Y")</f>
        <v>N</v>
      </c>
    </row>
    <row r="68" spans="1:20" hidden="1" x14ac:dyDescent="0.45">
      <c r="A68" s="293" t="s">
        <v>153</v>
      </c>
      <c r="B68" s="297" t="s">
        <v>4</v>
      </c>
      <c r="C68" s="297" t="s">
        <v>958</v>
      </c>
      <c r="D68" s="311">
        <v>8.0580160700000008</v>
      </c>
      <c r="E68" s="311">
        <v>14.589528700000001</v>
      </c>
      <c r="F68" s="302">
        <f t="shared" si="6"/>
        <v>0.8105608841259111</v>
      </c>
      <c r="G68" s="311">
        <v>13.13752743</v>
      </c>
      <c r="H68" s="311">
        <v>14.589528700000001</v>
      </c>
      <c r="I68" s="302">
        <f t="shared" si="7"/>
        <v>0.11052317703895365</v>
      </c>
      <c r="J68" s="311">
        <v>17.533691130000001</v>
      </c>
      <c r="K68" s="311">
        <v>19.657544260000002</v>
      </c>
      <c r="L68" s="311">
        <v>20.791153080000001</v>
      </c>
      <c r="M68" s="312">
        <v>23.701421610000001</v>
      </c>
      <c r="N68" t="str">
        <f t="shared" si="8"/>
        <v>OmanManufacture of computer, electronic and optical products (C26)</v>
      </c>
      <c r="O68" s="11">
        <f>INDEX('Base de dados IHS'!$A$1:$V$676,MATCH($N68,'Base de dados IHS'!$C$1:$C$676,0),MATCH($O$1,'Base de dados IHS'!$A$1:$V$1,0))</f>
        <v>83456.391863790006</v>
      </c>
      <c r="P68" s="11">
        <f>INDEX('Base de dados IHS'!$A$1:$V$676,MATCH($N68,'Base de dados IHS'!$C$1:$C$676,0),MATCH($P$1,'Base de dados IHS'!$A$1:$V$1,0))</f>
        <v>87715.792114070005</v>
      </c>
      <c r="Q68" s="131">
        <f>INDEX('Base de dados IHS'!$A$1:$V$676,MATCH($N68,'Base de dados IHS'!$C$1:$C$676,0),MATCH($Q$1,'Base de dados IHS'!$A$1:$V$1,0))</f>
        <v>1.5741786981926905E-4</v>
      </c>
      <c r="R68" s="131">
        <f>INDEX('Base de dados IHS'!$A$1:$V$676,MATCH($N68,'Base de dados IHS'!$C$1:$C$676,0),MATCH($R$1,'Base de dados IHS'!$A$1:$V$1,0))</f>
        <v>1.663272752644934E-4</v>
      </c>
      <c r="S68" s="131">
        <f>INDEX('Base de dados IHS'!$A$1:$V$676,MATCH($N68,'Base de dados IHS'!$C$1:$C$676,0),MATCH($S$1,'Base de dados IHS'!$A$1:$V$1,0))</f>
        <v>8.9094054452243561E-6</v>
      </c>
      <c r="T68" t="str">
        <f>IF(Q68&lt;'Cenario A ranking setor PIB'!$G$128,"N","Y")</f>
        <v>N</v>
      </c>
    </row>
    <row r="69" spans="1:20" hidden="1" x14ac:dyDescent="0.45">
      <c r="A69" s="293" t="s">
        <v>178</v>
      </c>
      <c r="B69" s="297" t="s">
        <v>4</v>
      </c>
      <c r="C69" s="297" t="s">
        <v>958</v>
      </c>
      <c r="D69" s="311">
        <v>2.4903821000000002</v>
      </c>
      <c r="E69" s="311">
        <v>3.9268037499999999</v>
      </c>
      <c r="F69" s="302">
        <f t="shared" si="6"/>
        <v>0.57678765439247237</v>
      </c>
      <c r="G69" s="311">
        <v>2.9425451900000001</v>
      </c>
      <c r="H69" s="311">
        <v>3.9268037499999999</v>
      </c>
      <c r="I69" s="302">
        <f t="shared" si="7"/>
        <v>0.33449224954808576</v>
      </c>
      <c r="J69" s="311">
        <v>5.4005758999999998</v>
      </c>
      <c r="K69" s="311">
        <v>6.14432037</v>
      </c>
      <c r="L69" s="311">
        <v>6.7504841500000001</v>
      </c>
      <c r="M69" s="312">
        <v>8.4169917299999994</v>
      </c>
      <c r="N69" t="str">
        <f t="shared" si="8"/>
        <v>SenegalManufacture of computer, electronic and optical products (C26)</v>
      </c>
      <c r="O69" s="11">
        <f>INDEX('Base de dados IHS'!$A$1:$V$676,MATCH($N69,'Base de dados IHS'!$C$1:$C$676,0),MATCH($O$1,'Base de dados IHS'!$A$1:$V$1,0))</f>
        <v>18437.455260710001</v>
      </c>
      <c r="P69" s="11">
        <f>INDEX('Base de dados IHS'!$A$1:$V$676,MATCH($N69,'Base de dados IHS'!$C$1:$C$676,0),MATCH($P$1,'Base de dados IHS'!$A$1:$V$1,0))</f>
        <v>25150.80803964</v>
      </c>
      <c r="Q69" s="131">
        <f>INDEX('Base de dados IHS'!$A$1:$V$676,MATCH($N69,'Base de dados IHS'!$C$1:$C$676,0),MATCH($Q$1,'Base de dados IHS'!$A$1:$V$1,0))</f>
        <v>1.5959605858789684E-4</v>
      </c>
      <c r="R69" s="131">
        <f>INDEX('Base de dados IHS'!$A$1:$V$676,MATCH($N69,'Base de dados IHS'!$C$1:$C$676,0),MATCH($R$1,'Base de dados IHS'!$A$1:$V$1,0))</f>
        <v>1.5613032169030093E-4</v>
      </c>
      <c r="S69" s="131">
        <f>INDEX('Base de dados IHS'!$A$1:$V$676,MATCH($N69,'Base de dados IHS'!$C$1:$C$676,0),MATCH($S$1,'Base de dados IHS'!$A$1:$V$1,0))</f>
        <v>-3.4657368975959165E-6</v>
      </c>
      <c r="T69" t="str">
        <f>IF(Q69&lt;'Cenario A ranking setor PIB'!$G$128,"N","Y")</f>
        <v>N</v>
      </c>
    </row>
    <row r="70" spans="1:20" hidden="1" x14ac:dyDescent="0.45">
      <c r="A70" s="293" t="s">
        <v>174</v>
      </c>
      <c r="B70" s="297" t="s">
        <v>4</v>
      </c>
      <c r="C70" s="297" t="s">
        <v>958</v>
      </c>
      <c r="D70" s="311">
        <v>6.0025886100000001</v>
      </c>
      <c r="E70" s="311">
        <v>11.02301331</v>
      </c>
      <c r="F70" s="302">
        <f t="shared" si="6"/>
        <v>0.83637660785818868</v>
      </c>
      <c r="G70" s="311">
        <v>9.0870070700000003</v>
      </c>
      <c r="H70" s="311">
        <v>11.02301331</v>
      </c>
      <c r="I70" s="302">
        <f t="shared" si="7"/>
        <v>0.21305213312660043</v>
      </c>
      <c r="J70" s="311">
        <v>11.020620900000001</v>
      </c>
      <c r="K70" s="311">
        <v>13.289818</v>
      </c>
      <c r="L70" s="311">
        <v>15.18536583</v>
      </c>
      <c r="M70" s="312">
        <v>20.11877123</v>
      </c>
      <c r="N70" t="str">
        <f t="shared" si="8"/>
        <v>Sri LankaManufacture of computer, electronic and optical products (C26)</v>
      </c>
      <c r="O70" s="11">
        <f>INDEX('Base de dados IHS'!$A$1:$V$676,MATCH($N70,'Base de dados IHS'!$C$1:$C$676,0),MATCH($O$1,'Base de dados IHS'!$A$1:$V$1,0))</f>
        <v>77969.257644440004</v>
      </c>
      <c r="P70" s="11">
        <f>INDEX('Base de dados IHS'!$A$1:$V$676,MATCH($N70,'Base de dados IHS'!$C$1:$C$676,0),MATCH($P$1,'Base de dados IHS'!$A$1:$V$1,0))</f>
        <v>87884.425158479993</v>
      </c>
      <c r="Q70" s="131">
        <f>INDEX('Base de dados IHS'!$A$1:$V$676,MATCH($N70,'Base de dados IHS'!$C$1:$C$676,0),MATCH($Q$1,'Base de dados IHS'!$A$1:$V$1,0))</f>
        <v>1.1654602524804205E-4</v>
      </c>
      <c r="R70" s="131">
        <f>INDEX('Base de dados IHS'!$A$1:$V$676,MATCH($N70,'Base de dados IHS'!$C$1:$C$676,0),MATCH($R$1,'Base de dados IHS'!$A$1:$V$1,0))</f>
        <v>1.2542624350244595E-4</v>
      </c>
      <c r="S70" s="131">
        <f>INDEX('Base de dados IHS'!$A$1:$V$676,MATCH($N70,'Base de dados IHS'!$C$1:$C$676,0),MATCH($S$1,'Base de dados IHS'!$A$1:$V$1,0))</f>
        <v>8.8802182544038988E-6</v>
      </c>
      <c r="T70" t="str">
        <f>IF(Q70&lt;'Cenario A ranking setor PIB'!$G$128,"N","Y")</f>
        <v>N</v>
      </c>
    </row>
    <row r="71" spans="1:20" hidden="1" x14ac:dyDescent="0.45">
      <c r="A71" s="293" t="s">
        <v>177</v>
      </c>
      <c r="B71" s="297" t="s">
        <v>4</v>
      </c>
      <c r="C71" s="297" t="s">
        <v>958</v>
      </c>
      <c r="D71" s="311">
        <v>2.9516647800000002</v>
      </c>
      <c r="E71" s="311">
        <v>4.19761673</v>
      </c>
      <c r="F71" s="302">
        <f t="shared" si="6"/>
        <v>0.42211837822586329</v>
      </c>
      <c r="G71" s="311">
        <v>3.71222261</v>
      </c>
      <c r="H71" s="311">
        <v>4.19761673</v>
      </c>
      <c r="I71" s="302">
        <f t="shared" si="7"/>
        <v>0.13075566069029465</v>
      </c>
      <c r="J71" s="311">
        <v>4.9966469900000003</v>
      </c>
      <c r="K71" s="311">
        <v>5.4942354199999999</v>
      </c>
      <c r="L71" s="311">
        <v>5.9025934099999997</v>
      </c>
      <c r="M71" s="312">
        <v>6.8817613199999998</v>
      </c>
      <c r="N71" t="str">
        <f t="shared" si="8"/>
        <v>BoliviaManufacture of computer, electronic and optical products (C26)</v>
      </c>
      <c r="O71" s="11">
        <f>INDEX('Base de dados IHS'!$A$1:$V$676,MATCH($N71,'Base de dados IHS'!$C$1:$C$676,0),MATCH($O$1,'Base de dados IHS'!$A$1:$V$1,0))</f>
        <v>35334.894672080001</v>
      </c>
      <c r="P71" s="11">
        <f>INDEX('Base de dados IHS'!$A$1:$V$676,MATCH($N71,'Base de dados IHS'!$C$1:$C$676,0),MATCH($P$1,'Base de dados IHS'!$A$1:$V$1,0))</f>
        <v>39600.741188879998</v>
      </c>
      <c r="Q71" s="131">
        <f>INDEX('Base de dados IHS'!$A$1:$V$676,MATCH($N71,'Base de dados IHS'!$C$1:$C$676,0),MATCH($Q$1,'Base de dados IHS'!$A$1:$V$1,0))</f>
        <v>1.0505826165468172E-4</v>
      </c>
      <c r="R71" s="131">
        <f>INDEX('Base de dados IHS'!$A$1:$V$676,MATCH($N71,'Base de dados IHS'!$C$1:$C$676,0),MATCH($R$1,'Base de dados IHS'!$A$1:$V$1,0))</f>
        <v>1.0599843851353729E-4</v>
      </c>
      <c r="S71" s="131">
        <f>INDEX('Base de dados IHS'!$A$1:$V$676,MATCH($N71,'Base de dados IHS'!$C$1:$C$676,0),MATCH($S$1,'Base de dados IHS'!$A$1:$V$1,0))</f>
        <v>9.4017685885556472E-7</v>
      </c>
      <c r="T71" t="str">
        <f>IF(Q71&lt;'Cenario A ranking setor PIB'!$G$128,"N","Y")</f>
        <v>N</v>
      </c>
    </row>
    <row r="72" spans="1:20" hidden="1" x14ac:dyDescent="0.45">
      <c r="A72" s="293" t="s">
        <v>105</v>
      </c>
      <c r="B72" s="297" t="s">
        <v>4</v>
      </c>
      <c r="C72" s="297" t="s">
        <v>958</v>
      </c>
      <c r="D72" s="311">
        <v>81.938967700000006</v>
      </c>
      <c r="E72" s="311">
        <v>86.994690689999999</v>
      </c>
      <c r="F72" s="302">
        <f t="shared" si="6"/>
        <v>6.1701082304457699E-2</v>
      </c>
      <c r="G72" s="311">
        <v>90.723488939999996</v>
      </c>
      <c r="H72" s="311">
        <v>86.994690689999999</v>
      </c>
      <c r="I72" s="302">
        <f t="shared" si="7"/>
        <v>-4.110069281469142E-2</v>
      </c>
      <c r="J72" s="311">
        <v>97.08681267</v>
      </c>
      <c r="K72" s="311">
        <v>103.05126</v>
      </c>
      <c r="L72" s="311">
        <v>111.9105862</v>
      </c>
      <c r="M72" s="312">
        <v>127.16559525</v>
      </c>
      <c r="N72" t="str">
        <f t="shared" si="8"/>
        <v>Saudi ArabiaManufacture of computer, electronic and optical products (C26)</v>
      </c>
      <c r="O72" s="11">
        <f>INDEX('Base de dados IHS'!$A$1:$V$676,MATCH($N72,'Base de dados IHS'!$C$1:$C$676,0),MATCH($O$1,'Base de dados IHS'!$A$1:$V$1,0))</f>
        <v>791157.39281293005</v>
      </c>
      <c r="P72" s="11">
        <f>INDEX('Base de dados IHS'!$A$1:$V$676,MATCH($N72,'Base de dados IHS'!$C$1:$C$676,0),MATCH($P$1,'Base de dados IHS'!$A$1:$V$1,0))</f>
        <v>836861.61444072996</v>
      </c>
      <c r="Q72" s="131">
        <f>INDEX('Base de dados IHS'!$A$1:$V$676,MATCH($N72,'Base de dados IHS'!$C$1:$C$676,0),MATCH($Q$1,'Base de dados IHS'!$A$1:$V$1,0))</f>
        <v>1.1467185892991036E-4</v>
      </c>
      <c r="R72" s="131">
        <f>INDEX('Base de dados IHS'!$A$1:$V$676,MATCH($N72,'Base de dados IHS'!$C$1:$C$676,0),MATCH($R$1,'Base de dados IHS'!$A$1:$V$1,0))</f>
        <v>1.0395349623980313E-4</v>
      </c>
      <c r="S72" s="131">
        <f>INDEX('Base de dados IHS'!$A$1:$V$676,MATCH($N72,'Base de dados IHS'!$C$1:$C$676,0),MATCH($S$1,'Base de dados IHS'!$A$1:$V$1,0))</f>
        <v>-1.0718362690107237E-5</v>
      </c>
      <c r="T72" t="str">
        <f>IF(Q72&lt;'Cenario A ranking setor PIB'!$G$128,"N","Y")</f>
        <v>N</v>
      </c>
    </row>
    <row r="73" spans="1:20" hidden="1" x14ac:dyDescent="0.45">
      <c r="A73" s="293" t="s">
        <v>152</v>
      </c>
      <c r="B73" s="297" t="s">
        <v>4</v>
      </c>
      <c r="C73" s="297" t="s">
        <v>958</v>
      </c>
      <c r="D73" s="311">
        <v>18.186666890000001</v>
      </c>
      <c r="E73" s="311">
        <v>15.83601365</v>
      </c>
      <c r="F73" s="302">
        <f t="shared" si="6"/>
        <v>-0.12925145955647954</v>
      </c>
      <c r="G73" s="311">
        <v>17.927555609999999</v>
      </c>
      <c r="H73" s="311">
        <v>15.83601365</v>
      </c>
      <c r="I73" s="302">
        <f t="shared" si="7"/>
        <v>-0.11666632113712905</v>
      </c>
      <c r="J73" s="311">
        <v>18.15424921</v>
      </c>
      <c r="K73" s="311">
        <v>20.066565659999998</v>
      </c>
      <c r="L73" s="311">
        <v>21.672393400000001</v>
      </c>
      <c r="M73" s="312">
        <v>26.088107690000001</v>
      </c>
      <c r="N73" t="str">
        <f t="shared" si="8"/>
        <v>ColombiaManufacture of computer, electronic and optical products (C26)</v>
      </c>
      <c r="O73" s="11">
        <f>INDEX('Base de dados IHS'!$A$1:$V$676,MATCH($N73,'Base de dados IHS'!$C$1:$C$676,0),MATCH($O$1,'Base de dados IHS'!$A$1:$V$1,0))</f>
        <v>295018.32730579999</v>
      </c>
      <c r="P73" s="11">
        <f>INDEX('Base de dados IHS'!$A$1:$V$676,MATCH($N73,'Base de dados IHS'!$C$1:$C$676,0),MATCH($P$1,'Base de dados IHS'!$A$1:$V$1,0))</f>
        <v>332655.81031924998</v>
      </c>
      <c r="Q73" s="131">
        <f>INDEX('Base de dados IHS'!$A$1:$V$676,MATCH($N73,'Base de dados IHS'!$C$1:$C$676,0),MATCH($Q$1,'Base de dados IHS'!$A$1:$V$1,0))</f>
        <v>6.0767599673281541E-5</v>
      </c>
      <c r="R73" s="131">
        <f>INDEX('Base de dados IHS'!$A$1:$V$676,MATCH($N73,'Base de dados IHS'!$C$1:$C$676,0),MATCH($R$1,'Base de dados IHS'!$A$1:$V$1,0))</f>
        <v>4.7604800994764433E-5</v>
      </c>
      <c r="S73" s="131">
        <f>INDEX('Base de dados IHS'!$A$1:$V$676,MATCH($N73,'Base de dados IHS'!$C$1:$C$676,0),MATCH($S$1,'Base de dados IHS'!$A$1:$V$1,0))</f>
        <v>-1.3162798678517108E-5</v>
      </c>
      <c r="T73" t="str">
        <f>IF(Q73&lt;'Cenario A ranking setor PIB'!$G$128,"N","Y")</f>
        <v>N</v>
      </c>
    </row>
    <row r="74" spans="1:20" hidden="1" x14ac:dyDescent="0.45">
      <c r="A74" s="293" t="s">
        <v>171</v>
      </c>
      <c r="B74" s="297" t="s">
        <v>4</v>
      </c>
      <c r="C74" s="297" t="s">
        <v>958</v>
      </c>
      <c r="D74" s="311">
        <v>1.3187021000000001</v>
      </c>
      <c r="E74" s="311">
        <v>1.6366284799999999</v>
      </c>
      <c r="F74" s="302">
        <f t="shared" si="6"/>
        <v>0.24109037211664397</v>
      </c>
      <c r="G74" s="311">
        <v>1.46514857</v>
      </c>
      <c r="H74" s="311">
        <v>1.6366284799999999</v>
      </c>
      <c r="I74" s="302">
        <f t="shared" si="7"/>
        <v>0.11703926380653673</v>
      </c>
      <c r="J74" s="311">
        <v>1.9519061099999999</v>
      </c>
      <c r="K74" s="311">
        <v>2.2082560500000001</v>
      </c>
      <c r="L74" s="311">
        <v>2.3610607799999999</v>
      </c>
      <c r="M74" s="312">
        <v>2.7367043299999998</v>
      </c>
      <c r="N74" t="str">
        <f t="shared" si="8"/>
        <v>CameroonManufacture of computer, electronic and optical products (C26)</v>
      </c>
      <c r="O74" s="11">
        <f>INDEX('Base de dados IHS'!$A$1:$V$676,MATCH($N74,'Base de dados IHS'!$C$1:$C$676,0),MATCH($O$1,'Base de dados IHS'!$A$1:$V$1,0))</f>
        <v>34069.891642009999</v>
      </c>
      <c r="P74" s="11">
        <f>INDEX('Base de dados IHS'!$A$1:$V$676,MATCH($N74,'Base de dados IHS'!$C$1:$C$676,0),MATCH($P$1,'Base de dados IHS'!$A$1:$V$1,0))</f>
        <v>41316.84413338</v>
      </c>
      <c r="Q74" s="131">
        <f>INDEX('Base de dados IHS'!$A$1:$V$676,MATCH($N74,'Base de dados IHS'!$C$1:$C$676,0),MATCH($Q$1,'Base de dados IHS'!$A$1:$V$1,0))</f>
        <v>4.3004203987352675E-5</v>
      </c>
      <c r="R74" s="131">
        <f>INDEX('Base de dados IHS'!$A$1:$V$676,MATCH($N74,'Base de dados IHS'!$C$1:$C$676,0),MATCH($R$1,'Base de dados IHS'!$A$1:$V$1,0))</f>
        <v>3.9611652688588646E-5</v>
      </c>
      <c r="S74" s="131">
        <f>INDEX('Base de dados IHS'!$A$1:$V$676,MATCH($N74,'Base de dados IHS'!$C$1:$C$676,0),MATCH($S$1,'Base de dados IHS'!$A$1:$V$1,0))</f>
        <v>-3.3925512987640293E-6</v>
      </c>
      <c r="T74" t="str">
        <f>IF(Q74&lt;'Cenario A ranking setor PIB'!$G$128,"N","Y")</f>
        <v>N</v>
      </c>
    </row>
    <row r="75" spans="1:20" hidden="1" x14ac:dyDescent="0.45">
      <c r="A75" s="293" t="s">
        <v>102</v>
      </c>
      <c r="B75" s="297" t="s">
        <v>4</v>
      </c>
      <c r="C75" s="297" t="s">
        <v>958</v>
      </c>
      <c r="D75" s="311">
        <v>8.0136080500000002</v>
      </c>
      <c r="E75" s="311">
        <v>9.7251573100000002</v>
      </c>
      <c r="F75" s="302">
        <f t="shared" si="6"/>
        <v>0.21358035597960146</v>
      </c>
      <c r="G75" s="311">
        <v>13.260142800000001</v>
      </c>
      <c r="H75" s="311">
        <v>9.7251573100000002</v>
      </c>
      <c r="I75" s="302">
        <f t="shared" si="7"/>
        <v>-0.26658728667688258</v>
      </c>
      <c r="J75" s="311">
        <v>10.595956709999999</v>
      </c>
      <c r="K75" s="311">
        <v>11.828549689999999</v>
      </c>
      <c r="L75" s="311">
        <v>12.947155049999999</v>
      </c>
      <c r="M75" s="312">
        <v>15.644075089999999</v>
      </c>
      <c r="N75" t="str">
        <f t="shared" si="8"/>
        <v>NigeriaManufacture of computer, electronic and optical products (C26)</v>
      </c>
      <c r="O75" s="11">
        <f>INDEX('Base de dados IHS'!$A$1:$V$676,MATCH($N75,'Base de dados IHS'!$C$1:$C$676,0),MATCH($O$1,'Base de dados IHS'!$A$1:$V$1,0))</f>
        <v>460034.71302222001</v>
      </c>
      <c r="P75" s="11">
        <f>INDEX('Base de dados IHS'!$A$1:$V$676,MATCH($N75,'Base de dados IHS'!$C$1:$C$676,0),MATCH($P$1,'Base de dados IHS'!$A$1:$V$1,0))</f>
        <v>483780.49839321</v>
      </c>
      <c r="Q75" s="131">
        <f>INDEX('Base de dados IHS'!$A$1:$V$676,MATCH($N75,'Base de dados IHS'!$C$1:$C$676,0),MATCH($Q$1,'Base de dados IHS'!$A$1:$V$1,0))</f>
        <v>2.8824222226376919E-5</v>
      </c>
      <c r="R75" s="131">
        <f>INDEX('Base de dados IHS'!$A$1:$V$676,MATCH($N75,'Base de dados IHS'!$C$1:$C$676,0),MATCH($R$1,'Base de dados IHS'!$A$1:$V$1,0))</f>
        <v>2.0102416989317186E-5</v>
      </c>
      <c r="S75" s="131">
        <f>INDEX('Base de dados IHS'!$A$1:$V$676,MATCH($N75,'Base de dados IHS'!$C$1:$C$676,0),MATCH($S$1,'Base de dados IHS'!$A$1:$V$1,0))</f>
        <v>-8.7218052370597331E-6</v>
      </c>
      <c r="T75" t="str">
        <f>IF(Q75&lt;'Cenario A ranking setor PIB'!$G$128,"N","Y")</f>
        <v>N</v>
      </c>
    </row>
    <row r="76" spans="1:20" hidden="1" x14ac:dyDescent="0.45">
      <c r="A76" s="293" t="s">
        <v>173</v>
      </c>
      <c r="B76" s="297" t="s">
        <v>4</v>
      </c>
      <c r="C76" s="297" t="s">
        <v>958</v>
      </c>
      <c r="D76" s="311">
        <v>6.9327459999999994E-2</v>
      </c>
      <c r="E76" s="311">
        <v>0.12118014000000001</v>
      </c>
      <c r="F76" s="302">
        <f t="shared" si="6"/>
        <v>0.74793855133305076</v>
      </c>
      <c r="G76" s="311">
        <v>0.11735275000000001</v>
      </c>
      <c r="H76" s="311">
        <v>0.12118014000000001</v>
      </c>
      <c r="I76" s="302">
        <f t="shared" si="7"/>
        <v>3.2614404008427522E-2</v>
      </c>
      <c r="J76" s="311">
        <v>0.1288001</v>
      </c>
      <c r="K76" s="311">
        <v>0.13762806</v>
      </c>
      <c r="L76" s="311">
        <v>0.14420711</v>
      </c>
      <c r="M76" s="312">
        <v>0.15928199000000001</v>
      </c>
      <c r="N76" t="str">
        <f t="shared" si="8"/>
        <v>PanamaManufacture of computer, electronic and optical products (C26)</v>
      </c>
      <c r="O76" s="11">
        <f>INDEX('Base de dados IHS'!$A$1:$V$676,MATCH($N76,'Base de dados IHS'!$C$1:$C$676,0),MATCH($O$1,'Base de dados IHS'!$A$1:$V$1,0))</f>
        <v>58921.61186117</v>
      </c>
      <c r="P76" s="11">
        <f>INDEX('Base de dados IHS'!$A$1:$V$676,MATCH($N76,'Base de dados IHS'!$C$1:$C$676,0),MATCH($P$1,'Base de dados IHS'!$A$1:$V$1,0))</f>
        <v>65983.988595749994</v>
      </c>
      <c r="Q76" s="131">
        <f>INDEX('Base de dados IHS'!$A$1:$V$676,MATCH($N76,'Base de dados IHS'!$C$1:$C$676,0),MATCH($Q$1,'Base de dados IHS'!$A$1:$V$1,0))</f>
        <v>1.9916758264608301E-6</v>
      </c>
      <c r="R76" s="131">
        <f>INDEX('Base de dados IHS'!$A$1:$V$676,MATCH($N76,'Base de dados IHS'!$C$1:$C$676,0),MATCH($R$1,'Base de dados IHS'!$A$1:$V$1,0))</f>
        <v>1.8365082587293788E-6</v>
      </c>
      <c r="S76" s="131">
        <f>INDEX('Base de dados IHS'!$A$1:$V$676,MATCH($N76,'Base de dados IHS'!$C$1:$C$676,0),MATCH($S$1,'Base de dados IHS'!$A$1:$V$1,0))</f>
        <v>-1.5516756773145127E-7</v>
      </c>
      <c r="T76" t="str">
        <f>IF(Q76&lt;'Cenario A ranking setor PIB'!$G$128,"N","Y")</f>
        <v>N</v>
      </c>
    </row>
  </sheetData>
  <autoFilter ref="A1:T76" xr:uid="{B9533277-3547-4870-AA56-395B69E853EF}">
    <filterColumn colId="19">
      <filters>
        <filter val="Y"/>
      </filters>
    </filterColumn>
    <sortState xmlns:xlrd2="http://schemas.microsoft.com/office/spreadsheetml/2017/richdata2" ref="A2:T36">
      <sortCondition descending="1" ref="S1:S76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DA66-56B6-437D-81A6-B678E7B04C9A}">
  <sheetPr>
    <tabColor theme="4" tint="-0.499984740745262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69F5-5B4E-42A1-87FC-2E980E23D4EF}">
  <sheetPr>
    <tabColor rgb="FFFFC000"/>
  </sheetPr>
  <dimension ref="A1:W162"/>
  <sheetViews>
    <sheetView showGridLines="0" tabSelected="1" topLeftCell="A22" zoomScale="90" zoomScaleNormal="90" workbookViewId="0">
      <selection activeCell="H49" sqref="H49"/>
    </sheetView>
  </sheetViews>
  <sheetFormatPr defaultColWidth="8.86328125" defaultRowHeight="14.25" x14ac:dyDescent="0.45"/>
  <cols>
    <col min="1" max="1" width="3.86328125" style="173" customWidth="1"/>
    <col min="2" max="2" width="42.1328125" style="421" customWidth="1"/>
    <col min="3" max="3" width="25.1328125" style="173" customWidth="1"/>
    <col min="4" max="4" width="19" style="173" customWidth="1"/>
    <col min="5" max="5" width="23.86328125" style="173" customWidth="1"/>
    <col min="6" max="6" width="22.33203125" style="173" customWidth="1"/>
    <col min="7" max="7" width="19" style="173" customWidth="1"/>
    <col min="8" max="8" width="20" style="173" customWidth="1"/>
    <col min="9" max="22" width="19" style="173" customWidth="1"/>
    <col min="23" max="23" width="8.86328125" style="173"/>
    <col min="24" max="24" width="22.46484375" style="173" customWidth="1"/>
    <col min="25" max="25" width="11.1328125" style="173" customWidth="1"/>
    <col min="26" max="16384" width="8.86328125" style="173"/>
  </cols>
  <sheetData>
    <row r="1" spans="2:19" s="174" customFormat="1" ht="24" customHeight="1" thickBot="1" x14ac:dyDescent="0.75">
      <c r="B1" s="174" t="str">
        <f ca="1">MID(CELL("filename",A1),FIND("]",CELL("filename",A1))+1,256)</f>
        <v>Output_Etapa2</v>
      </c>
    </row>
    <row r="2" spans="2:19" s="319" customFormat="1" ht="24" customHeight="1" x14ac:dyDescent="0.7"/>
    <row r="3" spans="2:19" s="319" customFormat="1" ht="16.25" customHeight="1" x14ac:dyDescent="0.7">
      <c r="B3" s="403" t="s">
        <v>869</v>
      </c>
      <c r="C3" s="173"/>
      <c r="L3" s="403" t="s">
        <v>788</v>
      </c>
    </row>
    <row r="4" spans="2:19" s="319" customFormat="1" ht="16.25" customHeight="1" x14ac:dyDescent="0.7">
      <c r="B4" s="173"/>
      <c r="C4" s="173"/>
    </row>
    <row r="5" spans="2:19" s="319" customFormat="1" ht="16.25" customHeight="1" x14ac:dyDescent="0.7">
      <c r="B5" s="339" t="s">
        <v>870</v>
      </c>
      <c r="C5" s="285">
        <v>5.4</v>
      </c>
    </row>
    <row r="6" spans="2:19" s="319" customFormat="1" ht="16.25" customHeight="1" x14ac:dyDescent="0.7"/>
    <row r="7" spans="2:19" s="319" customFormat="1" ht="46.8" customHeight="1" thickBot="1" x14ac:dyDescent="0.75">
      <c r="C7" s="411" t="s">
        <v>1049</v>
      </c>
      <c r="D7" s="412" t="s">
        <v>1028</v>
      </c>
      <c r="E7" s="413" t="s">
        <v>1044</v>
      </c>
      <c r="F7" s="389" t="s">
        <v>1045</v>
      </c>
      <c r="G7" s="414" t="s">
        <v>1046</v>
      </c>
      <c r="H7" s="415" t="s">
        <v>1047</v>
      </c>
      <c r="I7" s="416" t="s">
        <v>1048</v>
      </c>
      <c r="M7" s="411" t="s">
        <v>1049</v>
      </c>
      <c r="N7" s="412" t="s">
        <v>1028</v>
      </c>
      <c r="O7" s="413" t="s">
        <v>1044</v>
      </c>
      <c r="P7" s="389" t="s">
        <v>1045</v>
      </c>
      <c r="Q7" s="414" t="s">
        <v>1046</v>
      </c>
      <c r="R7" s="415" t="s">
        <v>1047</v>
      </c>
      <c r="S7" s="416" t="s">
        <v>1048</v>
      </c>
    </row>
    <row r="8" spans="2:19" s="319" customFormat="1" ht="17.45" customHeight="1" x14ac:dyDescent="0.7">
      <c r="B8" s="356" t="s">
        <v>1001</v>
      </c>
      <c r="C8" s="405">
        <f>$C$5*$C$52</f>
        <v>89700.354724982943</v>
      </c>
      <c r="D8" s="406">
        <f>$C$5*$M$52</f>
        <v>136745.68374261999</v>
      </c>
      <c r="E8" s="406">
        <f>$C$5*$D$162</f>
        <v>225134.39214723534</v>
      </c>
      <c r="F8" s="406">
        <f>$C$5*$Q$52</f>
        <v>210432.23391006034</v>
      </c>
      <c r="G8" s="406">
        <f>$C$5*$D$80</f>
        <v>200136.20844474528</v>
      </c>
      <c r="H8" s="406">
        <f>$C$5*$D$107</f>
        <v>426029.66670422925</v>
      </c>
      <c r="I8" s="406">
        <f>$C$5*$D$134</f>
        <v>171726.81729970101</v>
      </c>
      <c r="L8" s="356" t="s">
        <v>1001</v>
      </c>
      <c r="M8" s="405">
        <f>$C$52</f>
        <v>16611.176800922767</v>
      </c>
      <c r="N8" s="406">
        <f>$M$52</f>
        <v>25323.274767151848</v>
      </c>
      <c r="O8" s="406">
        <f>$D$162</f>
        <v>41691.554101339876</v>
      </c>
      <c r="P8" s="406">
        <f>$Q$52</f>
        <v>38968.932205566729</v>
      </c>
      <c r="Q8" s="406">
        <f>$D$80</f>
        <v>37062.260823100973</v>
      </c>
      <c r="R8" s="406">
        <f>$D$107</f>
        <v>78894.382723005416</v>
      </c>
      <c r="S8" s="406">
        <f>$D$134</f>
        <v>31801.262462907591</v>
      </c>
    </row>
    <row r="9" spans="2:19" s="319" customFormat="1" ht="21" customHeight="1" x14ac:dyDescent="0.7">
      <c r="B9" s="357" t="s">
        <v>1000</v>
      </c>
      <c r="C9" s="407">
        <f>$C$5*$D$52</f>
        <v>373997.71951379516</v>
      </c>
      <c r="D9" s="408">
        <f>$C$5*$O$52</f>
        <v>604616.07858017227</v>
      </c>
      <c r="E9" s="408">
        <f>$C$5*$F$162</f>
        <v>787758.11669562652</v>
      </c>
      <c r="F9" s="408">
        <f>$C$5*$S$52</f>
        <v>858416.67988074687</v>
      </c>
      <c r="G9" s="408">
        <f>$C$5*$F$80</f>
        <v>821573.94455163204</v>
      </c>
      <c r="H9" s="408">
        <f>$C$5*$F$107</f>
        <v>1701845.8167718039</v>
      </c>
      <c r="I9" s="408">
        <f>$C$5*$F$134</f>
        <v>713130.35092201876</v>
      </c>
      <c r="L9" s="357" t="s">
        <v>1000</v>
      </c>
      <c r="M9" s="407">
        <f>$D$52</f>
        <v>69258.836946999101</v>
      </c>
      <c r="N9" s="408">
        <f>$O$52</f>
        <v>111965.94047780967</v>
      </c>
      <c r="O9" s="408">
        <f>$F$162</f>
        <v>145881.13272141232</v>
      </c>
      <c r="P9" s="408">
        <f>$S$52</f>
        <v>158966.05182976794</v>
      </c>
      <c r="Q9" s="408">
        <f>$F$80</f>
        <v>152143.32306511703</v>
      </c>
      <c r="R9" s="408">
        <f>$F$107</f>
        <v>315156.6327355192</v>
      </c>
      <c r="S9" s="408">
        <f>$F$134</f>
        <v>132061.17609667013</v>
      </c>
    </row>
    <row r="10" spans="2:19" s="319" customFormat="1" ht="16.25" customHeight="1" x14ac:dyDescent="0.7">
      <c r="C10" s="418">
        <f>C8/$C$14</f>
        <v>8.3675704034499018E-2</v>
      </c>
      <c r="D10" s="409">
        <f>D8/$C$18</f>
        <v>6.109315658294364E-2</v>
      </c>
      <c r="E10" s="409">
        <f t="shared" ref="E10:I10" si="0">E8/$C$18</f>
        <v>0.10058211926852999</v>
      </c>
      <c r="F10" s="409">
        <f t="shared" si="0"/>
        <v>9.40137126416596E-2</v>
      </c>
      <c r="G10" s="409">
        <f t="shared" si="0"/>
        <v>8.9413810994172213E-2</v>
      </c>
      <c r="H10" s="409">
        <f t="shared" si="0"/>
        <v>0.19033505427439457</v>
      </c>
      <c r="I10" s="409">
        <f t="shared" si="0"/>
        <v>7.6721495345533311E-2</v>
      </c>
    </row>
    <row r="11" spans="2:19" s="319" customFormat="1" ht="16.25" customHeight="1" x14ac:dyDescent="0.7">
      <c r="C11" s="419">
        <f>C8/$C$15</f>
        <v>1.2802382717278349E-2</v>
      </c>
      <c r="D11" s="410">
        <f>D8/$C$16</f>
        <v>9.3472529571903863E-3</v>
      </c>
      <c r="E11" s="410">
        <f t="shared" ref="E11:I11" si="1">E8/$C$16</f>
        <v>1.5389064248085102E-2</v>
      </c>
      <c r="F11" s="410">
        <f t="shared" si="1"/>
        <v>1.4384098034173932E-2</v>
      </c>
      <c r="G11" s="410">
        <f t="shared" si="1"/>
        <v>1.368031308210836E-2</v>
      </c>
      <c r="H11" s="410">
        <f t="shared" si="1"/>
        <v>2.9121263303982393E-2</v>
      </c>
      <c r="I11" s="410">
        <f t="shared" si="1"/>
        <v>1.1738388787866606E-2</v>
      </c>
    </row>
    <row r="12" spans="2:19" s="319" customFormat="1" ht="16.25" customHeight="1" x14ac:dyDescent="0.7">
      <c r="C12" s="410"/>
      <c r="D12" s="410"/>
      <c r="E12" s="410"/>
      <c r="F12" s="410"/>
      <c r="G12" s="410"/>
      <c r="H12" s="410"/>
      <c r="I12" s="410"/>
    </row>
    <row r="13" spans="2:19" s="319" customFormat="1" ht="16.25" customHeight="1" x14ac:dyDescent="0.7">
      <c r="C13" s="410"/>
      <c r="D13" s="410"/>
      <c r="E13" s="410"/>
      <c r="F13" s="410"/>
      <c r="G13" s="410"/>
      <c r="H13" s="410"/>
      <c r="I13" s="410"/>
    </row>
    <row r="14" spans="2:19" s="319" customFormat="1" ht="16.25" customHeight="1" x14ac:dyDescent="0.7">
      <c r="B14" s="364" t="s">
        <v>1050</v>
      </c>
      <c r="C14" s="417">
        <v>1072000</v>
      </c>
    </row>
    <row r="15" spans="2:19" s="319" customFormat="1" ht="16.25" customHeight="1" x14ac:dyDescent="0.7">
      <c r="B15" s="364" t="s">
        <v>1002</v>
      </c>
      <c r="C15" s="417">
        <f>C14/15.3%</f>
        <v>7006535.9477124186</v>
      </c>
    </row>
    <row r="16" spans="2:19" s="319" customFormat="1" ht="16.25" customHeight="1" x14ac:dyDescent="0.7">
      <c r="B16" s="364" t="s">
        <v>1051</v>
      </c>
      <c r="C16" s="417">
        <f>2709167.59*C5</f>
        <v>14629504.986</v>
      </c>
    </row>
    <row r="17" spans="1:23" s="319" customFormat="1" ht="16.25" customHeight="1" x14ac:dyDescent="0.7">
      <c r="B17" s="364" t="s">
        <v>1053</v>
      </c>
      <c r="C17" s="409">
        <f>(C16/C15)^(1/12)-1</f>
        <v>6.3270724438216908E-2</v>
      </c>
    </row>
    <row r="18" spans="1:23" s="319" customFormat="1" ht="16.25" customHeight="1" x14ac:dyDescent="0.7">
      <c r="B18" s="364" t="s">
        <v>1052</v>
      </c>
      <c r="C18" s="417">
        <f>C14*((1+C17)^12)</f>
        <v>2238314.262858002</v>
      </c>
      <c r="D18" s="420"/>
    </row>
    <row r="19" spans="1:23" s="319" customFormat="1" ht="16.25" customHeight="1" x14ac:dyDescent="0.7"/>
    <row r="20" spans="1:23" s="338" customFormat="1" ht="20.45" customHeight="1" x14ac:dyDescent="0.7">
      <c r="A20" s="325" t="s">
        <v>981</v>
      </c>
    </row>
    <row r="21" spans="1:23" x14ac:dyDescent="0.45">
      <c r="B21" s="403" t="s">
        <v>788</v>
      </c>
    </row>
    <row r="22" spans="1:23" x14ac:dyDescent="0.45">
      <c r="B22" s="173"/>
    </row>
    <row r="23" spans="1:23" ht="15.75" x14ac:dyDescent="0.5">
      <c r="B23" s="220" t="s">
        <v>952</v>
      </c>
      <c r="C23" s="221"/>
      <c r="E23" s="220" t="s">
        <v>985</v>
      </c>
      <c r="F23" s="221"/>
    </row>
    <row r="24" spans="1:23" x14ac:dyDescent="0.45">
      <c r="B24" s="223" t="s">
        <v>793</v>
      </c>
      <c r="C24" s="219">
        <f>D52</f>
        <v>69258.836946999101</v>
      </c>
      <c r="E24" s="223" t="s">
        <v>752</v>
      </c>
      <c r="F24" s="219">
        <f>C52</f>
        <v>16611.176800922767</v>
      </c>
      <c r="G24" s="176"/>
    </row>
    <row r="25" spans="1:23" x14ac:dyDescent="0.45">
      <c r="B25" s="223" t="s">
        <v>953</v>
      </c>
      <c r="C25" s="219">
        <f>K52</f>
        <v>83643.272456292412</v>
      </c>
      <c r="E25" s="223" t="s">
        <v>953</v>
      </c>
      <c r="F25" s="219">
        <f>J52</f>
        <v>19035.537314440295</v>
      </c>
      <c r="G25" s="176"/>
    </row>
    <row r="26" spans="1:23" x14ac:dyDescent="0.45">
      <c r="B26" s="223" t="s">
        <v>955</v>
      </c>
      <c r="C26" s="219">
        <f>O52</f>
        <v>111965.94047780967</v>
      </c>
      <c r="E26" s="223" t="s">
        <v>955</v>
      </c>
      <c r="F26" s="219">
        <f>M52</f>
        <v>25323.274767151848</v>
      </c>
      <c r="G26" s="176"/>
    </row>
    <row r="27" spans="1:23" x14ac:dyDescent="0.45">
      <c r="B27" s="222" t="s">
        <v>954</v>
      </c>
      <c r="C27" s="216">
        <f>S52</f>
        <v>158966.05182976794</v>
      </c>
      <c r="E27" s="222" t="s">
        <v>954</v>
      </c>
      <c r="F27" s="216">
        <f>Q52</f>
        <v>38968.932205566729</v>
      </c>
    </row>
    <row r="28" spans="1:23" x14ac:dyDescent="0.45">
      <c r="B28" s="173"/>
    </row>
    <row r="29" spans="1:23" ht="15.75" x14ac:dyDescent="0.5">
      <c r="B29" s="220" t="s">
        <v>753</v>
      </c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</row>
    <row r="30" spans="1:23" x14ac:dyDescent="0.45">
      <c r="B30" s="173"/>
    </row>
    <row r="31" spans="1:23" x14ac:dyDescent="0.45">
      <c r="B31" s="173"/>
      <c r="E31" s="173" t="str">
        <f>Multiplicadores!A36</f>
        <v>Fabricação de peças e acessórios para veículos automotores</v>
      </c>
      <c r="J31" s="242" t="s">
        <v>946</v>
      </c>
      <c r="K31" s="242"/>
      <c r="L31" s="242"/>
      <c r="M31" s="242"/>
      <c r="N31" s="242"/>
      <c r="O31" s="242"/>
      <c r="P31" s="404" t="s">
        <v>947</v>
      </c>
      <c r="Q31" s="404"/>
      <c r="R31" s="404"/>
      <c r="S31" s="404"/>
      <c r="V31" s="176"/>
      <c r="W31" s="176"/>
    </row>
    <row r="32" spans="1:23" x14ac:dyDescent="0.45">
      <c r="B32" s="181" t="s">
        <v>754</v>
      </c>
      <c r="C32" s="181" t="s">
        <v>752</v>
      </c>
      <c r="D32" s="181" t="s">
        <v>793</v>
      </c>
      <c r="E32" s="181" t="s">
        <v>1130</v>
      </c>
      <c r="F32" s="181" t="s">
        <v>1131</v>
      </c>
      <c r="G32" s="181" t="s">
        <v>1132</v>
      </c>
      <c r="H32" s="181" t="s">
        <v>1062</v>
      </c>
      <c r="I32" s="181" t="s">
        <v>1063</v>
      </c>
      <c r="J32" s="181" t="s">
        <v>820</v>
      </c>
      <c r="K32" s="181" t="s">
        <v>819</v>
      </c>
      <c r="L32" s="181" t="s">
        <v>761</v>
      </c>
      <c r="M32" s="181" t="s">
        <v>898</v>
      </c>
      <c r="N32" s="181" t="s">
        <v>778</v>
      </c>
      <c r="O32" s="181" t="s">
        <v>899</v>
      </c>
      <c r="P32" s="181" t="s">
        <v>755</v>
      </c>
      <c r="Q32" s="181" t="s">
        <v>948</v>
      </c>
      <c r="R32" s="192" t="s">
        <v>779</v>
      </c>
      <c r="S32" s="192" t="s">
        <v>949</v>
      </c>
      <c r="V32" s="176"/>
      <c r="W32" s="176"/>
    </row>
    <row r="33" spans="2:23" x14ac:dyDescent="0.45">
      <c r="B33" s="290" t="s">
        <v>776</v>
      </c>
      <c r="C33" s="180">
        <f>'1.1. Agricultura de precisão '!$D$56</f>
        <v>10.196595164441447</v>
      </c>
      <c r="D33" s="188">
        <f>'1.1. Agricultura de precisão '!$J$64</f>
        <v>19.461585798311084</v>
      </c>
      <c r="E33" s="218">
        <f>$D$33*Multiplicadores!B37</f>
        <v>33.415902912486033</v>
      </c>
      <c r="F33" s="218">
        <f>$D$33*Multiplicadores!C37</f>
        <v>7.4212491531836191</v>
      </c>
      <c r="G33" s="218">
        <f>$D$33*Multiplicadores!D37</f>
        <v>7.8662971432420665</v>
      </c>
      <c r="H33" s="218">
        <f>$D$33*Multiplicadores!E37</f>
        <v>1.0844402654412766</v>
      </c>
      <c r="I33" s="218">
        <f>$D$33*Multiplicadores!F37</f>
        <v>128.13254489184055</v>
      </c>
      <c r="J33" s="180">
        <f>'1.1. Agricultura de precisão '!D6</f>
        <v>10.196595164441447</v>
      </c>
      <c r="K33" s="218">
        <f>'1.1. Agricultura de precisão '!D7</f>
        <v>19.461585798311084</v>
      </c>
      <c r="L33" s="180">
        <f>'1.1. Agricultura de precisão '!D10</f>
        <v>10.196595164441447</v>
      </c>
      <c r="M33" s="188">
        <f>'1.1. Agricultura de precisão '!D12</f>
        <v>10.196595164441447</v>
      </c>
      <c r="N33" s="180">
        <f>'1.1. Agricultura de precisão '!D11</f>
        <v>19.461585798311084</v>
      </c>
      <c r="O33" s="188">
        <f>'1.1. Agricultura de precisão '!D13</f>
        <v>19.461585798311084</v>
      </c>
      <c r="P33" s="180">
        <f>'1.1. Agricultura de precisão '!D22</f>
        <v>18.462356542723356</v>
      </c>
      <c r="Q33" s="188">
        <f>'1.1. Agricultura de precisão '!D24</f>
        <v>28.817818478110709</v>
      </c>
      <c r="R33" s="193">
        <f>'1.1. Agricultura de precisão '!D23</f>
        <v>35.237913254439064</v>
      </c>
      <c r="S33" s="194">
        <f>'1.1. Agricultura de precisão '!D25</f>
        <v>55.002717847200913</v>
      </c>
      <c r="V33" s="176"/>
      <c r="W33" s="176"/>
    </row>
    <row r="34" spans="2:23" x14ac:dyDescent="0.45">
      <c r="B34" s="290" t="s">
        <v>9</v>
      </c>
      <c r="C34" s="180">
        <f>'1.2. Máquinas agrícolas'!$D$57</f>
        <v>3279.8820300000002</v>
      </c>
      <c r="D34" s="188">
        <f>'1.2. Máquinas agrícolas'!$J$67</f>
        <v>13792.40286</v>
      </c>
      <c r="E34" s="218">
        <f>$D$34*Multiplicadores!B34</f>
        <v>26053.466451487355</v>
      </c>
      <c r="F34" s="218">
        <f>$D$34*Multiplicadores!C34</f>
        <v>5426.5262295191551</v>
      </c>
      <c r="G34" s="218">
        <f>$D$34*Multiplicadores!D34</f>
        <v>5856.7246626020651</v>
      </c>
      <c r="H34" s="218">
        <f>$D$34*Multiplicadores!E34</f>
        <v>1081.6073313826319</v>
      </c>
      <c r="I34" s="218">
        <f>$D$34*Multiplicadores!F34</f>
        <v>116334.93979526187</v>
      </c>
      <c r="J34" s="180">
        <f>'1.2. Máquinas agrícolas'!E6</f>
        <v>3924.4553687135062</v>
      </c>
      <c r="K34" s="218">
        <f>'1.2. Máquinas agrícolas'!E7</f>
        <v>16502.931799466736</v>
      </c>
      <c r="L34" s="180">
        <f>'1.2. Máquinas agrícolas'!E10</f>
        <v>4530.1891040571045</v>
      </c>
      <c r="M34" s="188">
        <f>'1.2. Máquinas agrícolas'!$E$12</f>
        <v>5045.091344069855</v>
      </c>
      <c r="N34" s="180">
        <f>'1.2. Máquinas agrícolas'!E11</f>
        <v>19050.134298622332</v>
      </c>
      <c r="O34" s="188">
        <f>'1.2. Máquinas agrícolas'!$E$13</f>
        <v>21215.376542951548</v>
      </c>
      <c r="P34" s="180">
        <f>'1.2. Máquinas agrícolas'!E22</f>
        <v>4766.7224018243733</v>
      </c>
      <c r="Q34" s="188">
        <f>'1.2. Máquinas agrícolas'!$E$24</f>
        <v>5515.0596058741703</v>
      </c>
      <c r="R34" s="177">
        <f>'1.2. Máquinas agrícolas'!E23</f>
        <v>20044.792796327663</v>
      </c>
      <c r="S34" s="190">
        <f>'1.2. Máquinas agrícolas'!E25</f>
        <v>23191.664573719248</v>
      </c>
      <c r="V34" s="176"/>
      <c r="W34" s="176"/>
    </row>
    <row r="35" spans="2:23" x14ac:dyDescent="0.45">
      <c r="B35" s="291" t="s">
        <v>288</v>
      </c>
      <c r="C35" s="176">
        <f>'1.3. (Bio) Fertilizantes'!$D$55</f>
        <v>3130.8179100000002</v>
      </c>
      <c r="D35" s="189">
        <f>'1.3. (Bio) Fertilizantes'!$J$63</f>
        <v>22739.659800000001</v>
      </c>
      <c r="E35" s="218">
        <f>$D$35*Multiplicadores!B23</f>
        <v>45200.417093674507</v>
      </c>
      <c r="F35" s="218">
        <f>$D$35*Multiplicadores!C23</f>
        <v>5134.2545986225241</v>
      </c>
      <c r="G35" s="218">
        <f>$D$35*Multiplicadores!D23</f>
        <v>5781.9623824675155</v>
      </c>
      <c r="H35" s="218">
        <f>$D$35*Multiplicadores!E23</f>
        <v>2514.9866820960578</v>
      </c>
      <c r="I35" s="218">
        <f>$D$35*Multiplicadores!F23</f>
        <v>110920.5463014523</v>
      </c>
      <c r="J35" s="176">
        <f>'1.3. (Bio) Fertilizantes'!E6</f>
        <v>3808.0820111807234</v>
      </c>
      <c r="K35" s="189">
        <f>'1.3. (Bio) Fertilizantes'!E7</f>
        <v>27658.743470248464</v>
      </c>
      <c r="L35" s="176">
        <f>'1.3. (Bio) Fertilizantes'!E10</f>
        <v>4453.9473549093909</v>
      </c>
      <c r="M35" s="188">
        <f>'1.3. (Bio) Fertilizantes'!$E$24</f>
        <v>5412.3331601583377</v>
      </c>
      <c r="N35" s="177">
        <f>'1.3. (Bio) Fertilizantes'!E11</f>
        <v>32349.772656612087</v>
      </c>
      <c r="O35" s="188">
        <f>'1.3. (Bio) Fertilizantes'!$E$23</f>
        <v>33812.48959140393</v>
      </c>
      <c r="P35" s="176">
        <f>'1.3. (Bio) Fertilizantes'!E22</f>
        <v>4655.3356086029044</v>
      </c>
      <c r="Q35" s="188">
        <f>'1.3. (Bio) Fertilizantes'!$E$24</f>
        <v>5412.3331601583377</v>
      </c>
      <c r="R35" s="177">
        <f>'1.3. (Bio) Fertilizantes'!E23</f>
        <v>33812.48959140393</v>
      </c>
      <c r="S35" s="188">
        <f>'1.3. (Bio) Fertilizantes'!$E$25</f>
        <v>39310.690792061905</v>
      </c>
      <c r="V35" s="176"/>
      <c r="W35" s="176"/>
    </row>
    <row r="36" spans="2:23" x14ac:dyDescent="0.45">
      <c r="B36" s="195" t="s">
        <v>10</v>
      </c>
      <c r="C36" s="177">
        <f>'2.1. Princípio ativo'!$D$60</f>
        <v>118.83927150000001</v>
      </c>
      <c r="D36" s="190">
        <f>'2.1. Princípio ativo'!$J$68</f>
        <v>278.86748399999999</v>
      </c>
      <c r="E36" s="218">
        <f>$D$36*Multiplicadores!B26</f>
        <v>469.10153490061617</v>
      </c>
      <c r="F36" s="218">
        <f>$D$36*Multiplicadores!C26</f>
        <v>94.294160987668036</v>
      </c>
      <c r="G36" s="218">
        <f>$D$36*Multiplicadores!D26</f>
        <v>104.85638381691811</v>
      </c>
      <c r="H36" s="218">
        <f>$D$36*Multiplicadores!E26</f>
        <v>12.245943256315842</v>
      </c>
      <c r="I36" s="218">
        <f>$D$36*Multiplicadores!F26</f>
        <v>1740.7660540000511</v>
      </c>
      <c r="J36" s="177">
        <f>'2.1. Princípio ativo'!E6</f>
        <v>118.83927150000001</v>
      </c>
      <c r="K36" s="245">
        <f>'2.1. Princípio ativo'!E7</f>
        <v>278.86748399999999</v>
      </c>
      <c r="L36" s="177">
        <f>'2.1. Princípio ativo'!E10</f>
        <v>118.83927150000001</v>
      </c>
      <c r="M36" s="188">
        <f>'2.1. Princípio ativo'!$E$12</f>
        <v>118.83927150000001</v>
      </c>
      <c r="N36" s="177">
        <f>'2.1. Princípio ativo'!E11</f>
        <v>278.86748399999999</v>
      </c>
      <c r="O36" s="188">
        <f>'2.1. Princípio ativo'!$E$13</f>
        <v>278.86748399999999</v>
      </c>
      <c r="P36" s="177">
        <f>'2.1. Princípio ativo'!E22</f>
        <v>156.94197814384086</v>
      </c>
      <c r="Q36" s="188">
        <f>'2.1. Princípio ativo'!$E$24</f>
        <v>193.34078534646173</v>
      </c>
      <c r="R36" s="177">
        <f>'2.1. Princípio ativo'!E23</f>
        <v>368.27905478161637</v>
      </c>
      <c r="S36" s="188">
        <f>'2.1. Princípio ativo'!$E$25</f>
        <v>453.69226589504842</v>
      </c>
      <c r="V36" s="176"/>
      <c r="W36" s="176"/>
    </row>
    <row r="37" spans="2:23" x14ac:dyDescent="0.45">
      <c r="B37" s="195" t="s">
        <v>11</v>
      </c>
      <c r="C37" s="177">
        <f>'2.2. Biofármacos e vacinas'!$D$60</f>
        <v>6376.94416</v>
      </c>
      <c r="D37" s="190">
        <f>'2.2. Biofármacos e vacinas'!$J$70</f>
        <v>14803.573929999999</v>
      </c>
      <c r="E37" s="218">
        <f>$D$37*Multiplicadores!B27</f>
        <v>30107.55039679485</v>
      </c>
      <c r="F37" s="218">
        <f>$D$37*Multiplicadores!C27</f>
        <v>5368.965777075764</v>
      </c>
      <c r="G37" s="218">
        <f>$D$37*Multiplicadores!D27</f>
        <v>5871.7435429134084</v>
      </c>
      <c r="H37" s="218">
        <f>$D$37*Multiplicadores!E27</f>
        <v>1188.1456201021567</v>
      </c>
      <c r="I37" s="218">
        <f>$D$37*Multiplicadores!F27</f>
        <v>128039.47726817164</v>
      </c>
      <c r="J37" s="177">
        <f>'2.2. Biofármacos e vacinas'!E6</f>
        <v>6376.94416</v>
      </c>
      <c r="K37" s="245">
        <f>'2.2. Biofármacos e vacinas'!E7</f>
        <v>14803.573929999999</v>
      </c>
      <c r="L37" s="177">
        <f>'2.2. Biofármacos e vacinas'!E10</f>
        <v>6376.94416</v>
      </c>
      <c r="M37" s="188">
        <f>'2.2. Biofármacos e vacinas'!$E$12</f>
        <v>6376.94416</v>
      </c>
      <c r="N37" s="180">
        <f>'2.2. Biofármacos e vacinas'!E11</f>
        <v>14803.573929999999</v>
      </c>
      <c r="O37" s="188">
        <f>'2.2. Biofármacos e vacinas'!$E$13</f>
        <v>14803.573929999999</v>
      </c>
      <c r="P37" s="177">
        <f>'2.2. Biofármacos e vacinas'!E22</f>
        <v>7440.0107667426146</v>
      </c>
      <c r="Q37" s="188">
        <f>'2.2. Biofármacos e vacinas'!$E$24</f>
        <v>8352.0729025617238</v>
      </c>
      <c r="R37" s="177">
        <f>'2.2. Biofármacos e vacinas'!E23</f>
        <v>17271.399382219191</v>
      </c>
      <c r="S37" s="188">
        <f>'2.2. Biofármacos e vacinas'!$E$25</f>
        <v>19388.679840944718</v>
      </c>
      <c r="V37" s="176"/>
      <c r="W37" s="176"/>
    </row>
    <row r="38" spans="2:23" x14ac:dyDescent="0.45">
      <c r="B38" s="195" t="s">
        <v>289</v>
      </c>
      <c r="C38" s="177">
        <f>'2.3.Eq médicos de imagem'!$D$57</f>
        <v>113.43741</v>
      </c>
      <c r="D38" s="190">
        <f>'2.3.Eq médicos de imagem'!$J$64</f>
        <v>301.18116000000003</v>
      </c>
      <c r="E38" s="218">
        <f>$D$38*Multiplicadores!B32</f>
        <v>498.809625716433</v>
      </c>
      <c r="F38" s="218">
        <f>$D$38*Multiplicadores!C32</f>
        <v>70.481798231956915</v>
      </c>
      <c r="G38" s="218">
        <f>$D$38*Multiplicadores!D32</f>
        <v>78.551971686024999</v>
      </c>
      <c r="H38" s="218">
        <f>$D$38*Multiplicadores!E32</f>
        <v>32.704565999838664</v>
      </c>
      <c r="I38" s="218">
        <f>$D$38*Multiplicadores!F32</f>
        <v>1624.9249690084489</v>
      </c>
      <c r="J38" s="177">
        <f>'2.3.Eq médicos de imagem'!E6</f>
        <v>116.50813880543124</v>
      </c>
      <c r="K38" s="245">
        <f>'2.3.Eq médicos de imagem'!E7</f>
        <v>309.33407590018851</v>
      </c>
      <c r="L38" s="177">
        <f>'2.3.Eq médicos de imagem'!E10</f>
        <v>119.02446401551892</v>
      </c>
      <c r="M38" s="188">
        <f>'2.3.Eq médicos de imagem'!$E$12</f>
        <v>120.94730951903846</v>
      </c>
      <c r="N38" s="180">
        <f>'2.3.Eq médicos de imagem'!E11</f>
        <v>316.01502661751755</v>
      </c>
      <c r="O38" s="188">
        <f>'2.3.Eq médicos de imagem'!$E$13</f>
        <v>321.12026341066013</v>
      </c>
      <c r="P38" s="177">
        <f>'2.3.Eq médicos de imagem'!E22</f>
        <v>142.69843948923673</v>
      </c>
      <c r="Q38" s="188">
        <f>'2.3.Eq médicos de imagem'!$E$24</f>
        <v>166.13703033287408</v>
      </c>
      <c r="R38" s="177">
        <f>'2.3.Eq médicos de imagem'!E23</f>
        <v>378.87044084978788</v>
      </c>
      <c r="S38" s="188">
        <f>'2.3.Eq médicos de imagem'!$E$25</f>
        <v>441.10089885347531</v>
      </c>
      <c r="V38" s="176"/>
      <c r="W38" s="176"/>
    </row>
    <row r="39" spans="2:23" x14ac:dyDescent="0.45">
      <c r="B39" s="195" t="s">
        <v>12</v>
      </c>
      <c r="C39" s="177">
        <f>'3.3. Metroferroviários'!$D$66</f>
        <v>208.52530682617183</v>
      </c>
      <c r="D39" s="190">
        <f>'3.3. Metroferroviários'!$J$74</f>
        <v>1009.5766593759926</v>
      </c>
      <c r="E39" s="218">
        <f>$D$39*Multiplicadores!B37</f>
        <v>1733.461804296946</v>
      </c>
      <c r="F39" s="218">
        <f>$D$39*Multiplicadores!C37</f>
        <v>384.97992949362998</v>
      </c>
      <c r="G39" s="218">
        <f>$D$39*Multiplicadores!D37</f>
        <v>408.06695167782419</v>
      </c>
      <c r="H39" s="218">
        <f>$D$39*Multiplicadores!E37</f>
        <v>56.25572303424677</v>
      </c>
      <c r="I39" s="218">
        <f>$D$39*Multiplicadores!F37</f>
        <v>6646.9211692129884</v>
      </c>
      <c r="J39" s="177">
        <f>'3.3. Metroferroviários'!E6</f>
        <v>208.52530682617183</v>
      </c>
      <c r="K39" s="245">
        <f>'3.3. Metroferroviários'!E7</f>
        <v>1009.5766593759926</v>
      </c>
      <c r="L39" s="177">
        <f>'3.3. Metroferroviários'!E10</f>
        <v>208.52530682617183</v>
      </c>
      <c r="M39" s="188">
        <f>'3.3. Metroferroviários'!$E$12</f>
        <v>208.52530682617183</v>
      </c>
      <c r="N39" s="180">
        <f>'3.3. Metroferroviários'!E11</f>
        <v>1009.5766593759926</v>
      </c>
      <c r="O39" s="188">
        <f>'3.3. Metroferroviários'!$E$13</f>
        <v>1009.5766593759926</v>
      </c>
      <c r="P39" s="177">
        <f>'3.3. Metroferroviários'!E22</f>
        <v>341.9802209416427</v>
      </c>
      <c r="Q39" s="188">
        <f>'3.3. Metroferroviários'!$E$24</f>
        <v>495.60154696428924</v>
      </c>
      <c r="R39" s="177">
        <f>'3.3. Metroferroviários'!E23</f>
        <v>1655.6995133388521</v>
      </c>
      <c r="S39" s="188">
        <f>'3.3. Metroferroviários'!$E$25</f>
        <v>2399.4581846263613</v>
      </c>
      <c r="V39" s="176"/>
      <c r="W39" s="176"/>
    </row>
    <row r="40" spans="2:23" x14ac:dyDescent="0.45">
      <c r="B40" s="195" t="s">
        <v>13</v>
      </c>
      <c r="C40" s="177">
        <f>'4.1. Semicondutores'!$D$61</f>
        <v>214.21724799999998</v>
      </c>
      <c r="D40" s="190">
        <f>'4.1. Semicondutores'!$J$69</f>
        <v>1074.9173999999998</v>
      </c>
      <c r="E40" s="218">
        <f>$D$40*Multiplicadores!B32</f>
        <v>1780.2546014833104</v>
      </c>
      <c r="F40" s="218">
        <f>$D$40*Multiplicadores!C32</f>
        <v>251.54996847352507</v>
      </c>
      <c r="G40" s="218">
        <f>$D$40*Multiplicadores!D32</f>
        <v>280.35246683297049</v>
      </c>
      <c r="H40" s="218">
        <f>$D$40*Multiplicadores!E32</f>
        <v>116.72279585042759</v>
      </c>
      <c r="I40" s="218">
        <f>$D$40*Multiplicadores!F32</f>
        <v>5799.3671412967597</v>
      </c>
      <c r="J40" s="177">
        <f>'4.1. Semicondutores'!E6</f>
        <v>220.01606757860117</v>
      </c>
      <c r="K40" s="245">
        <f>'4.1. Semicondutores'!E7</f>
        <v>1104.0152066551348</v>
      </c>
      <c r="L40" s="177">
        <f>'4.1. Semicondutores'!E10</f>
        <v>224.76794142319972</v>
      </c>
      <c r="M40" s="188">
        <f>'4.1. Semicondutores'!$E$12</f>
        <v>228.39907750161626</v>
      </c>
      <c r="N40" s="180">
        <f>'4.1. Semicondutores'!E11</f>
        <v>1127.8595605801927</v>
      </c>
      <c r="O40" s="188">
        <f>'4.1. Semicondutores'!$E$13</f>
        <v>1146.0801818835607</v>
      </c>
      <c r="P40" s="177">
        <f>'4.1. Semicondutores'!E22</f>
        <v>290.55846971608736</v>
      </c>
      <c r="Q40" s="188">
        <f>'4.1. Semicondutores'!$E$24</f>
        <v>357.94631486349147</v>
      </c>
      <c r="R40" s="177">
        <f>'4.1. Semicondutores'!E23</f>
        <v>1457.9888301767155</v>
      </c>
      <c r="S40" s="188">
        <f>'4.1. Semicondutores'!$E$25</f>
        <v>1796.1332511966802</v>
      </c>
      <c r="V40" s="176"/>
      <c r="W40" s="176"/>
    </row>
    <row r="41" spans="2:23" x14ac:dyDescent="0.45">
      <c r="B41" s="195" t="s">
        <v>14</v>
      </c>
      <c r="C41" s="177">
        <f>'4.2. Robos Industriais'!$D$59</f>
        <v>86.613685000000004</v>
      </c>
      <c r="D41" s="190">
        <f>'4.2. Robos Industriais'!$J$68</f>
        <v>263.73877579999998</v>
      </c>
      <c r="E41" s="218">
        <f>$D$41*Multiplicadores!B32</f>
        <v>436.79837093299</v>
      </c>
      <c r="F41" s="218">
        <f>$D$41*Multiplicadores!C32</f>
        <v>61.71960816499584</v>
      </c>
      <c r="G41" s="218">
        <f>$D$41*Multiplicadores!D32</f>
        <v>68.786509916983164</v>
      </c>
      <c r="H41" s="218">
        <f>$D$41*Multiplicadores!E32</f>
        <v>28.638784045681181</v>
      </c>
      <c r="I41" s="218">
        <f>$D$41*Multiplicadores!F32</f>
        <v>1422.9167657536784</v>
      </c>
      <c r="J41" s="177">
        <f>'4.2. Robos Industriais'!E6</f>
        <v>103.63529480428004</v>
      </c>
      <c r="K41" s="245">
        <f>'4.2. Robos Industriais'!E7</f>
        <v>315.56959828406929</v>
      </c>
      <c r="L41" s="177">
        <f>'4.2. Robos Industriais'!E10</f>
        <v>119.63124541074859</v>
      </c>
      <c r="M41" s="188">
        <f>'4.2. Robos Industriais'!$E$12</f>
        <v>133.22855775745478</v>
      </c>
      <c r="N41" s="180">
        <f>'4.2. Robos Industriais'!E11</f>
        <v>364.27728726771295</v>
      </c>
      <c r="O41" s="188">
        <f>'4.2. Robos Industriais'!$E$13</f>
        <v>405.68111984325247</v>
      </c>
      <c r="P41" s="177">
        <f>'4.2. Robos Industriais'!E22</f>
        <v>171.3799080077346</v>
      </c>
      <c r="Q41" s="188">
        <f>'4.2. Robos Industriais'!$E$24</f>
        <v>249.91888179358153</v>
      </c>
      <c r="R41" s="177">
        <f>'4.2. Robos Industriais'!E23</f>
        <v>521.85202759444473</v>
      </c>
      <c r="S41" s="188">
        <f>'4.2. Robos Industriais'!$E$25</f>
        <v>761.00329796087192</v>
      </c>
      <c r="V41" s="176"/>
      <c r="W41" s="176"/>
    </row>
    <row r="42" spans="2:23" x14ac:dyDescent="0.45">
      <c r="B42" s="195" t="s">
        <v>950</v>
      </c>
      <c r="C42" s="216">
        <f>'5.1.Biocombustíveis'!$D$57</f>
        <v>397.13021000000003</v>
      </c>
      <c r="D42" s="217">
        <f>'5.1.Biocombustíveis'!$J$65</f>
        <v>5729.0880499999994</v>
      </c>
      <c r="E42" s="447"/>
      <c r="F42" s="447"/>
      <c r="G42" s="447"/>
      <c r="H42" s="447"/>
      <c r="I42" s="447"/>
      <c r="J42" s="216">
        <f>'5.1.Biocombustíveis'!E6</f>
        <v>671.54060116247979</v>
      </c>
      <c r="K42" s="245">
        <f>'5.1.Biocombustíveis'!E7</f>
        <v>9687.7929110700952</v>
      </c>
      <c r="L42" s="216">
        <f>'5.1.Biocombustíveis'!E10</f>
        <v>1022.3126973858297</v>
      </c>
      <c r="M42" s="188">
        <f>'5.1.Biocombustíveis'!$E$12</f>
        <v>1401.0942949453433</v>
      </c>
      <c r="N42" s="219">
        <f>'5.1.Biocombustíveis'!E11</f>
        <v>14748.108581204189</v>
      </c>
      <c r="O42" s="188">
        <f>'5.1.Biocombustíveis'!$E$13</f>
        <v>20212.495498880682</v>
      </c>
      <c r="P42" s="216">
        <f>'5.1.Biocombustíveis'!E22</f>
        <v>1065.5435334582367</v>
      </c>
      <c r="Q42" s="188">
        <f>'5.1.Biocombustíveis'!$E$24</f>
        <v>1506.4176303048919</v>
      </c>
      <c r="R42" s="216">
        <f>'5.1.Biocombustíveis'!E24</f>
        <v>1506.4176303048919</v>
      </c>
      <c r="S42" s="188">
        <f>'5.1.Biocombustíveis'!$E$25</f>
        <v>21731.913178020561</v>
      </c>
      <c r="V42" s="176"/>
      <c r="W42" s="176"/>
    </row>
    <row r="43" spans="2:23" x14ac:dyDescent="0.45">
      <c r="B43" s="195" t="s">
        <v>951</v>
      </c>
      <c r="C43" s="177">
        <f>'5.2.Descarb Siderurgia'!$D$54</f>
        <v>78.714921399999994</v>
      </c>
      <c r="D43" s="190">
        <f>'5.2.Descarb Siderurgia'!$J$60</f>
        <v>317.46562236666665</v>
      </c>
      <c r="E43" s="218">
        <f>$D$43*Multiplicadores!B29</f>
        <v>709.24188707318547</v>
      </c>
      <c r="F43" s="218">
        <f>$D$43*Multiplicadores!C29</f>
        <v>95.865863951657417</v>
      </c>
      <c r="G43" s="218">
        <f>$D$43*Multiplicadores!D29</f>
        <v>108.75601529378348</v>
      </c>
      <c r="H43" s="218">
        <f>$D$43*Multiplicadores!E29</f>
        <v>23.143912717240664</v>
      </c>
      <c r="I43" s="218">
        <f>$D$43*Multiplicadores!F29</f>
        <v>2315.3352377117076</v>
      </c>
      <c r="J43" s="177">
        <f>'5.2.Descarb Siderurgia'!E6</f>
        <v>122.49292013183128</v>
      </c>
      <c r="K43" s="245">
        <f>'5.2.Descarb Siderurgia'!E7</f>
        <v>494.02693204191161</v>
      </c>
      <c r="L43" s="177">
        <f>'5.2.Descarb Siderurgia'!E10</f>
        <v>174.48340407088372</v>
      </c>
      <c r="M43" s="188">
        <f>'5.2.Descarb Siderurgia'!E12</f>
        <v>227.50265986475804</v>
      </c>
      <c r="N43" s="180">
        <f>'5.2.Descarb Siderurgia'!E11</f>
        <v>703.71006514169858</v>
      </c>
      <c r="O43" s="188">
        <f>'5.2.Descarb Siderurgia'!E13</f>
        <v>917.54234418936346</v>
      </c>
      <c r="P43" s="177">
        <f>'5.2.Descarb Siderurgia'!E22</f>
        <v>2468.0051306801397</v>
      </c>
      <c r="Q43" s="188">
        <f>'5.2.Descarb Siderurgia'!E24</f>
        <v>3640.2937189267445</v>
      </c>
      <c r="R43" s="177">
        <f>'5.2.Descarb Siderurgia'!E23</f>
        <v>9953.7263187243298</v>
      </c>
      <c r="S43" s="188">
        <f>'5.2.Descarb Siderurgia'!E25</f>
        <v>14681.69046633319</v>
      </c>
      <c r="V43" s="176"/>
      <c r="W43" s="176"/>
    </row>
    <row r="44" spans="2:23" x14ac:dyDescent="0.45">
      <c r="B44" s="195" t="s">
        <v>979</v>
      </c>
      <c r="C44" s="177">
        <f>'5.2.Descarb Alumínio'!$D$54</f>
        <v>819.12309031914913</v>
      </c>
      <c r="D44" s="190">
        <f>'5.2.Descarb Alumínio'!$J$60</f>
        <v>3272.2935654255321</v>
      </c>
      <c r="E44" s="218">
        <f>$D$44*Multiplicadores!B29</f>
        <v>7310.54797712652</v>
      </c>
      <c r="F44" s="218">
        <f>$D$44*Multiplicadores!C29</f>
        <v>988.14242441233262</v>
      </c>
      <c r="G44" s="218">
        <f>$D$44*Multiplicadores!D29</f>
        <v>1121.0083359392283</v>
      </c>
      <c r="H44" s="218">
        <f>$D$44*Multiplicadores!E29</f>
        <v>238.55709509209737</v>
      </c>
      <c r="I44" s="218">
        <f>$D$44*Multiplicadores!F29</f>
        <v>23865.439488173477</v>
      </c>
      <c r="J44" s="177">
        <f>'5.2.Descarb Alumínio'!E6</f>
        <v>1040.2299280922905</v>
      </c>
      <c r="K44" s="245">
        <f>'5.2.Descarb Alumínio'!E7</f>
        <v>4155.5875307253436</v>
      </c>
      <c r="L44" s="177">
        <f>'5.2.Descarb Alumínio'!E10</f>
        <v>1259.370411349506</v>
      </c>
      <c r="M44" s="188">
        <f>'5.2.Descarb Alumínio'!E12</f>
        <v>1453.5219383996671</v>
      </c>
      <c r="N44" s="180">
        <f>'5.2.Descarb Alumínio'!E11</f>
        <v>5031.0261574248207</v>
      </c>
      <c r="O44" s="188">
        <f>'5.2.Descarb Alumínio'!E13</f>
        <v>5806.6370517975429</v>
      </c>
      <c r="P44" s="177">
        <f>'5.2.Descarb Alumínio'!E22</f>
        <v>2733.6204838209651</v>
      </c>
      <c r="Q44" s="188">
        <f>'5.2.Descarb Alumínio'!E24</f>
        <v>3587.0674909217241</v>
      </c>
      <c r="R44" s="177">
        <f>'5.2.Descarb Alumínio'!E23</f>
        <v>10920.469493830917</v>
      </c>
      <c r="S44" s="188">
        <f>'5.2.Descarb Alumínio'!E25</f>
        <v>14329.882783205267</v>
      </c>
      <c r="V44" s="176"/>
      <c r="W44" s="176"/>
    </row>
    <row r="45" spans="2:23" x14ac:dyDescent="0.45">
      <c r="B45" s="195" t="s">
        <v>1008</v>
      </c>
      <c r="C45" s="177">
        <f>'5.3.Descarb Cimento'!$D$54</f>
        <v>1433.6735000000001</v>
      </c>
      <c r="D45" s="190">
        <f>'5.3.Descarb Cimento'!$J$60</f>
        <v>4359.1160399999999</v>
      </c>
      <c r="E45" s="218">
        <f>$D$45*Multiplicadores!B28</f>
        <v>9366.4711931543952</v>
      </c>
      <c r="F45" s="218">
        <f>$D$45*Multiplicadores!C28</f>
        <v>1911.9033378493257</v>
      </c>
      <c r="G45" s="218">
        <f>$D$45*Multiplicadores!D28</f>
        <v>2125.421395549105</v>
      </c>
      <c r="H45" s="218">
        <f>$D$45*Multiplicadores!E28</f>
        <v>353.27045107094096</v>
      </c>
      <c r="I45" s="218">
        <f>$D$45*Multiplicadores!F28</f>
        <v>56918.685950043553</v>
      </c>
      <c r="J45" s="177">
        <f>'5.3.Descarb Cimento'!E6</f>
        <v>1951.9853231290624</v>
      </c>
      <c r="K45" s="245">
        <f>'5.3.Descarb Cimento'!E7</f>
        <v>5935.0546214995802</v>
      </c>
      <c r="L45" s="177">
        <f>'5.3.Descarb Cimento'!E10</f>
        <v>2498.6048576650974</v>
      </c>
      <c r="M45" s="188">
        <f>'5.3.Descarb Cimento'!E12</f>
        <v>3006.8610128554587</v>
      </c>
      <c r="N45" s="180">
        <f>'5.3.Descarb Cimento'!E11</f>
        <v>7597.063426693624</v>
      </c>
      <c r="O45" s="188">
        <f>'5.3.Descarb Cimento'!E13</f>
        <v>9142.4275270407634</v>
      </c>
      <c r="P45" s="177">
        <f>'5.3.Descarb Cimento'!E22</f>
        <v>2958.0263291831811</v>
      </c>
      <c r="Q45" s="188">
        <f>'5.3.Descarb Cimento'!E24</f>
        <v>4040.1375458470925</v>
      </c>
      <c r="R45" s="177">
        <f>'5.3.Descarb Cimento'!E23</f>
        <v>8993.9445893955108</v>
      </c>
      <c r="S45" s="188">
        <f>'5.3.Descarb Cimento'!E25</f>
        <v>12284.127717997366</v>
      </c>
      <c r="V45" s="176"/>
      <c r="W45" s="176"/>
    </row>
    <row r="46" spans="2:23" x14ac:dyDescent="0.45">
      <c r="B46" s="195" t="s">
        <v>762</v>
      </c>
      <c r="C46" s="177">
        <f>'5.3.Paineis solares'!$D$56</f>
        <v>23.010429912356006</v>
      </c>
      <c r="D46" s="190">
        <f>'5.3.Paineis solares'!$J$64</f>
        <v>115.46367869627353</v>
      </c>
      <c r="E46" s="218">
        <f>$D$46*Multiplicadores!B32</f>
        <v>191.22841001851069</v>
      </c>
      <c r="F46" s="218">
        <f>$D$46*Multiplicadores!C32</f>
        <v>27.020573614200345</v>
      </c>
      <c r="G46" s="218">
        <f>$D$46*Multiplicadores!D32</f>
        <v>30.114432189961565</v>
      </c>
      <c r="H46" s="218">
        <f>$D$46*Multiplicadores!E32</f>
        <v>12.537933981350106</v>
      </c>
      <c r="I46" s="218">
        <f>$D$46*Multiplicadores!F32</f>
        <v>622.94671594711883</v>
      </c>
      <c r="J46" s="177">
        <f>'5.3.Paineis solares'!E6</f>
        <v>23.633317811129686</v>
      </c>
      <c r="K46" s="245">
        <f>'5.3.Paineis solares'!E7</f>
        <v>118.58925820442438</v>
      </c>
      <c r="L46" s="177">
        <f>'5.3.Paineis solares'!E10</f>
        <v>24.143746644822354</v>
      </c>
      <c r="M46" s="188">
        <f>'5.3.Paineis solares'!$E$12</f>
        <v>24.533789944391916</v>
      </c>
      <c r="N46" s="180">
        <f>'5.3.Paineis solares'!E11</f>
        <v>121.15053111741575</v>
      </c>
      <c r="O46" s="188">
        <f>'5.3.Paineis solares'!$E$13</f>
        <v>123.10772332941137</v>
      </c>
      <c r="P46" s="177">
        <f>'5.3.Paineis solares'!E22</f>
        <v>37.587524160783424</v>
      </c>
      <c r="Q46" s="188">
        <f>'5.3.Paineis solares'!$E$24</f>
        <v>53.233250918520483</v>
      </c>
      <c r="R46" s="177">
        <f>'5.3.Paineis solares'!E23</f>
        <v>188.60985341080706</v>
      </c>
      <c r="S46" s="188">
        <f>'5.3.Paineis solares'!$E$25</f>
        <v>267.11830258823812</v>
      </c>
      <c r="V46" s="176"/>
      <c r="W46" s="176"/>
    </row>
    <row r="47" spans="2:23" x14ac:dyDescent="0.45">
      <c r="B47" s="195" t="s">
        <v>763</v>
      </c>
      <c r="C47" s="177">
        <f>'5.3.Aerogeradores'!D56</f>
        <v>288.07742756185144</v>
      </c>
      <c r="D47" s="190">
        <f>'5.3.Aerogeradores'!$J$64</f>
        <v>1074.4433277683147</v>
      </c>
      <c r="E47" s="218">
        <f>$D$47*Multiplicadores!B33</f>
        <v>2190.1764530779828</v>
      </c>
      <c r="F47" s="218">
        <f>$D$47*Multiplicadores!C33</f>
        <v>396.41094415401562</v>
      </c>
      <c r="G47" s="218">
        <f>$D$47*Multiplicadores!D33</f>
        <v>431.19824287539848</v>
      </c>
      <c r="H47" s="218">
        <f>$D$47*Multiplicadores!E33</f>
        <v>92.68883188375078</v>
      </c>
      <c r="I47" s="218">
        <f>$D$47*Multiplicadores!F33</f>
        <v>8844.8349933547015</v>
      </c>
      <c r="J47" s="177">
        <f>'5.3.Aerogeradores'!E6</f>
        <v>305.79335186142606</v>
      </c>
      <c r="K47" s="245">
        <f>'5.3.Aerogeradores'!E7</f>
        <v>1140.5184688164263</v>
      </c>
      <c r="L47" s="177">
        <f>'5.3.Aerogeradores'!E10</f>
        <v>320.74735713745207</v>
      </c>
      <c r="M47" s="188">
        <f>'5.3.Aerogeradores'!$E$12</f>
        <v>332.44084080311978</v>
      </c>
      <c r="N47" s="180">
        <f>'5.3.Aerogeradores'!E11</f>
        <v>1196.2924714108804</v>
      </c>
      <c r="O47" s="188">
        <f>'5.3.Aerogeradores'!$E$13</f>
        <v>1239.9056958459912</v>
      </c>
      <c r="P47" s="177">
        <f>'5.3.Aerogeradores'!E22</f>
        <v>431.65227194784836</v>
      </c>
      <c r="Q47" s="188">
        <f>'5.3.Aerogeradores'!$E$24</f>
        <v>559.00221008835024</v>
      </c>
      <c r="R47" s="177">
        <f>'5.3.Aerogeradores'!E23</f>
        <v>1609.9348964466262</v>
      </c>
      <c r="S47" s="188">
        <f>'5.3.Aerogeradores'!$E$25</f>
        <v>2084.9123790103781</v>
      </c>
      <c r="V47" s="176"/>
      <c r="W47" s="176"/>
    </row>
    <row r="48" spans="2:23" s="241" customFormat="1" x14ac:dyDescent="0.45">
      <c r="B48" s="195" t="s">
        <v>805</v>
      </c>
      <c r="C48" s="370">
        <v>0</v>
      </c>
      <c r="D48" s="371">
        <v>0</v>
      </c>
      <c r="E48" s="218">
        <f>$D$48*Multiplicadores!B23</f>
        <v>0</v>
      </c>
      <c r="F48" s="218">
        <f>$D$48*Multiplicadores!C23</f>
        <v>0</v>
      </c>
      <c r="G48" s="218">
        <f>$D$48*Multiplicadores!D23</f>
        <v>0</v>
      </c>
      <c r="H48" s="218">
        <f>$D$48*Multiplicadores!E23</f>
        <v>0</v>
      </c>
      <c r="I48" s="218">
        <f>$D$48*Multiplicadores!F23</f>
        <v>0</v>
      </c>
      <c r="J48" s="370" t="s">
        <v>35</v>
      </c>
      <c r="K48" s="372" t="s">
        <v>35</v>
      </c>
      <c r="L48" s="373">
        <f>'5.4.Hidrogênio Verde'!$C$10</f>
        <v>850</v>
      </c>
      <c r="M48" s="372">
        <f>'5.4.Hidrogênio Verde'!$C$11</f>
        <v>1189.1640047946635</v>
      </c>
      <c r="N48" s="370">
        <f>'5.4.Hidrogênio Verde'!$C$8</f>
        <v>1000</v>
      </c>
      <c r="O48" s="372">
        <f>'5.4.Hidrogênio Verde'!$C$9</f>
        <v>1399.016476229016</v>
      </c>
      <c r="P48" s="370">
        <f>'5.4.Hidrogênio Verde'!$C$22</f>
        <v>3400</v>
      </c>
      <c r="Q48" s="371">
        <f>'5.4.Hidrogênio Verde'!$C$23</f>
        <v>4756.6560191786539</v>
      </c>
      <c r="R48" s="370">
        <f>'5.4.Hidrogênio Verde'!$C$20</f>
        <v>4000</v>
      </c>
      <c r="S48" s="188">
        <f>'5.4.Hidrogênio Verde'!$C$21</f>
        <v>5596.065904916064</v>
      </c>
      <c r="V48" s="176"/>
      <c r="W48" s="176"/>
    </row>
    <row r="49" spans="1:23" x14ac:dyDescent="0.45">
      <c r="B49" s="195" t="s">
        <v>764</v>
      </c>
      <c r="C49" s="177">
        <f>'6.1. Satélite'!$D$56</f>
        <v>6.6297807387950822</v>
      </c>
      <c r="D49" s="190">
        <f>'6.1. Satélite'!$J$64</f>
        <v>32.155497268018344</v>
      </c>
      <c r="E49" s="218">
        <f>$D$49*Multiplicadores!B37</f>
        <v>55.211583780806734</v>
      </c>
      <c r="F49" s="218">
        <f>$D$49*Multiplicadores!C37</f>
        <v>12.261794046155707</v>
      </c>
      <c r="G49" s="218">
        <f>$D$49*Multiplicadores!D37</f>
        <v>12.997126694623818</v>
      </c>
      <c r="H49" s="218">
        <f>$D$49*Multiplicadores!E37</f>
        <v>1.7917715624053723</v>
      </c>
      <c r="I49" s="218">
        <f>$D$49*Multiplicadores!F37</f>
        <v>211.70760388762221</v>
      </c>
      <c r="J49" s="177">
        <f>'6.1. Satélite'!E6</f>
        <v>6.6297807387950822</v>
      </c>
      <c r="K49" s="245">
        <f>'6.1. Satélite'!E7</f>
        <v>32.155497268018344</v>
      </c>
      <c r="L49" s="177">
        <f>'6.1. Satélite'!E10</f>
        <v>6.6297807387950822</v>
      </c>
      <c r="M49" s="188">
        <f>'6.1. Satélite'!$E$12</f>
        <v>6.6297807387950822</v>
      </c>
      <c r="N49" s="180">
        <f>'6.1. Satélite'!E11</f>
        <v>32.155497268018344</v>
      </c>
      <c r="O49" s="188">
        <f>'6.1. Satélite'!$E$13</f>
        <v>32.155497268018344</v>
      </c>
      <c r="P49" s="177">
        <f>'6.1. Satélite'!E22</f>
        <v>10.872799644111245</v>
      </c>
      <c r="Q49" s="188">
        <f>'6.1. Satélite'!$E$24</f>
        <v>15.756982402715746</v>
      </c>
      <c r="R49" s="177">
        <f>'6.1. Satélite'!E23</f>
        <v>52.734817790591229</v>
      </c>
      <c r="S49" s="188">
        <f>'6.1. Satélite'!$E$25</f>
        <v>76.423885580086889</v>
      </c>
      <c r="V49" s="176"/>
      <c r="W49" s="176"/>
    </row>
    <row r="50" spans="1:23" x14ac:dyDescent="0.45">
      <c r="B50" s="195" t="s">
        <v>16</v>
      </c>
      <c r="C50" s="177">
        <f>'6.2. Radares'!$D$56</f>
        <v>25.343824500000004</v>
      </c>
      <c r="D50" s="190">
        <f>'6.2. Radares'!$J$64</f>
        <v>75.431510500000002</v>
      </c>
      <c r="E50" s="218">
        <f>$D$50*Multiplicadores!B32</f>
        <v>124.92801183091991</v>
      </c>
      <c r="F50" s="218">
        <f>$D$50*Multiplicadores!C32</f>
        <v>17.652327600414115</v>
      </c>
      <c r="G50" s="218">
        <f>$D$50*Multiplicadores!D32</f>
        <v>19.673521003206499</v>
      </c>
      <c r="H50" s="218">
        <f>$D$50*Multiplicadores!E32</f>
        <v>8.1909333691880768</v>
      </c>
      <c r="I50" s="218">
        <f>$D$50*Multiplicadores!F32</f>
        <v>406.96617564482773</v>
      </c>
      <c r="J50" s="177">
        <f>'6.2. Radares'!E6</f>
        <v>26.029876940124865</v>
      </c>
      <c r="K50" s="245">
        <f>'6.2. Radares'!E7</f>
        <v>77.473426937703749</v>
      </c>
      <c r="L50" s="177">
        <f>'6.2. Radares'!E10</f>
        <v>26.592066296434989</v>
      </c>
      <c r="M50" s="188">
        <f>'6.2. Radares'!$E$12</f>
        <v>27.021662308736516</v>
      </c>
      <c r="N50" s="180">
        <f>'6.2. Radares'!E11</f>
        <v>79.146686328112466</v>
      </c>
      <c r="O50" s="188">
        <f>'6.2. Radares'!$E$13</f>
        <v>80.425304561626533</v>
      </c>
      <c r="P50" s="177">
        <f>'6.2. Radares'!E22</f>
        <v>32.862119908542951</v>
      </c>
      <c r="Q50" s="188">
        <f>'6.2. Radares'!$E$24</f>
        <v>39.139310604993199</v>
      </c>
      <c r="R50" s="177">
        <f>'6.2. Radares'!E23</f>
        <v>97.808416521094358</v>
      </c>
      <c r="S50" s="188">
        <f>'6.2. Radares'!$E$25</f>
        <v>116.49138901128777</v>
      </c>
      <c r="V50" s="176"/>
      <c r="W50" s="176"/>
    </row>
    <row r="51" spans="1:23" x14ac:dyDescent="0.45">
      <c r="V51" s="176"/>
      <c r="W51" s="176"/>
    </row>
    <row r="52" spans="1:23" x14ac:dyDescent="0.45">
      <c r="B52" s="422" t="s">
        <v>303</v>
      </c>
      <c r="C52" s="191">
        <f t="shared" ref="C52:S52" si="2">SUM(C33:C50)</f>
        <v>16611.176800922767</v>
      </c>
      <c r="D52" s="191">
        <f t="shared" si="2"/>
        <v>69258.836946999101</v>
      </c>
      <c r="E52" s="191"/>
      <c r="F52" s="191"/>
      <c r="G52" s="191"/>
      <c r="H52" s="191"/>
      <c r="I52" s="191"/>
      <c r="J52" s="191">
        <f t="shared" si="2"/>
        <v>19035.537314440295</v>
      </c>
      <c r="K52" s="191">
        <f t="shared" si="2"/>
        <v>83643.272456292412</v>
      </c>
      <c r="L52" s="191">
        <f t="shared" si="2"/>
        <v>22344.949764595396</v>
      </c>
      <c r="M52" s="191">
        <f t="shared" si="2"/>
        <v>25323.274767151848</v>
      </c>
      <c r="N52" s="191">
        <f t="shared" si="2"/>
        <v>99828.191905462896</v>
      </c>
      <c r="O52" s="191">
        <f t="shared" si="2"/>
        <v>111965.94047780967</v>
      </c>
      <c r="P52" s="191">
        <f t="shared" si="2"/>
        <v>31122.260342814967</v>
      </c>
      <c r="Q52" s="191">
        <f t="shared" si="2"/>
        <v>38968.932205566729</v>
      </c>
      <c r="R52" s="191">
        <f t="shared" si="2"/>
        <v>112870.2555663714</v>
      </c>
      <c r="S52" s="191">
        <f t="shared" si="2"/>
        <v>158966.05182976794</v>
      </c>
      <c r="V52" s="176"/>
      <c r="W52" s="176"/>
    </row>
    <row r="53" spans="1:23" x14ac:dyDescent="0.45">
      <c r="N53" s="176"/>
      <c r="O53" s="176"/>
      <c r="Q53" s="176"/>
      <c r="R53" s="176"/>
    </row>
    <row r="54" spans="1:23" x14ac:dyDescent="0.45">
      <c r="C54" s="176"/>
      <c r="M54" s="176"/>
      <c r="N54" s="176"/>
      <c r="O54" s="176"/>
      <c r="P54" s="176"/>
      <c r="Q54" s="176"/>
      <c r="R54" s="176"/>
      <c r="S54" s="176"/>
      <c r="T54" s="176"/>
      <c r="U54" s="176">
        <f>R52*5</f>
        <v>564351.27783185698</v>
      </c>
      <c r="V54" s="176"/>
    </row>
    <row r="55" spans="1:23" s="338" customFormat="1" ht="20.45" customHeight="1" x14ac:dyDescent="0.7">
      <c r="A55" s="325" t="s">
        <v>920</v>
      </c>
      <c r="B55" s="423"/>
    </row>
    <row r="57" spans="1:23" ht="15.75" x14ac:dyDescent="0.5">
      <c r="B57" s="424" t="s">
        <v>753</v>
      </c>
      <c r="C57" s="221"/>
      <c r="D57" s="221"/>
      <c r="E57" s="221"/>
      <c r="F57" s="221"/>
      <c r="G57" s="221"/>
      <c r="H57" s="221"/>
      <c r="I57" s="221"/>
      <c r="J57" s="221"/>
    </row>
    <row r="60" spans="1:23" x14ac:dyDescent="0.45">
      <c r="B60" s="425" t="s">
        <v>754</v>
      </c>
      <c r="C60" s="181" t="s">
        <v>921</v>
      </c>
      <c r="D60" s="181" t="s">
        <v>923</v>
      </c>
      <c r="E60" s="181" t="s">
        <v>922</v>
      </c>
      <c r="F60" s="181" t="s">
        <v>924</v>
      </c>
    </row>
    <row r="61" spans="1:23" x14ac:dyDescent="0.45">
      <c r="B61" s="290" t="s">
        <v>776</v>
      </c>
      <c r="C61" s="180">
        <f>'1.1. Agricultura de precisão '!$J$6</f>
        <v>10.93805156557079</v>
      </c>
      <c r="D61" s="218">
        <f>'1.1. Agricultura de precisão '!$J$8</f>
        <v>11.52931642460246</v>
      </c>
      <c r="E61" s="340">
        <f>'1.1. Agricultura de precisão '!$J$7</f>
        <v>20.876755973607153</v>
      </c>
      <c r="F61" s="218">
        <f>'1.1. Agricultura de precisão '!$J$9</f>
        <v>22.005265206149726</v>
      </c>
    </row>
    <row r="62" spans="1:23" x14ac:dyDescent="0.45">
      <c r="B62" s="290" t="s">
        <v>9</v>
      </c>
      <c r="C62" s="180">
        <f>'1.2. Máquinas agrícolas'!$J$6</f>
        <v>4893.1319046903936</v>
      </c>
      <c r="D62" s="218">
        <f>'1.2. Máquinas agrícolas'!$J$8</f>
        <v>5773.5451961277467</v>
      </c>
      <c r="E62" s="340">
        <f>'1.2. Máquinas agrícolas'!$J$7</f>
        <v>20576.363984837903</v>
      </c>
      <c r="F62" s="218">
        <f>'1.2. Máquinas agrícolas'!$J$9</f>
        <v>24278.63580063323</v>
      </c>
    </row>
    <row r="63" spans="1:23" x14ac:dyDescent="0.45">
      <c r="B63" s="291" t="s">
        <v>288</v>
      </c>
      <c r="C63" s="180">
        <f>'1.3. (Bio) Fertilizantes'!$J$6</f>
        <v>4748.9273040299104</v>
      </c>
      <c r="D63" s="218">
        <f>'1.3. (Bio) Fertilizantes'!$J$8</f>
        <v>5604.1847375704237</v>
      </c>
      <c r="E63" s="340">
        <f>'1.3. (Bio) Fertilizantes'!$J$7</f>
        <v>34492.26189860762</v>
      </c>
      <c r="F63" s="218">
        <f>'1.3. (Bio) Fertilizantes'!$J$9</f>
        <v>40704.14123467938</v>
      </c>
    </row>
    <row r="64" spans="1:23" x14ac:dyDescent="0.45">
      <c r="B64" s="195" t="s">
        <v>10</v>
      </c>
      <c r="C64" s="341">
        <f>'2.1. Princípio ativo'!$J6</f>
        <v>144.96982183995254</v>
      </c>
      <c r="D64" s="188">
        <f>'2.1. Princípio ativo'!$J8</f>
        <v>168.27353700597979</v>
      </c>
      <c r="E64" s="341">
        <f>'2.1. Princípio ativo'!$J7</f>
        <v>340.18526840629283</v>
      </c>
      <c r="F64" s="188">
        <f>'2.1. Princípio ativo'!$J9</f>
        <v>394.86961924567566</v>
      </c>
    </row>
    <row r="65" spans="2:8" x14ac:dyDescent="0.45">
      <c r="B65" s="195" t="s">
        <v>11</v>
      </c>
      <c r="C65" s="341">
        <f>'2.2. Biofármacos e vacinas'!$J6</f>
        <v>7779.1158351094882</v>
      </c>
      <c r="D65" s="188">
        <f>'2.2. Biofármacos e vacinas'!$J8</f>
        <v>9029.5988484987192</v>
      </c>
      <c r="E65" s="341">
        <f>'2.2. Biofármacos e vacinas'!$J7</f>
        <v>18058.605107038758</v>
      </c>
      <c r="F65" s="188">
        <f>'2.2. Biofármacos e vacinas'!$J9</f>
        <v>20961.502995502731</v>
      </c>
    </row>
    <row r="66" spans="2:8" x14ac:dyDescent="0.45">
      <c r="B66" s="195" t="s">
        <v>289</v>
      </c>
      <c r="C66" s="341">
        <f>'2.3.Eq médicos de imagem'!$J6</f>
        <v>139.59993357830322</v>
      </c>
      <c r="D66" s="188">
        <f>'2.3.Eq médicos de imagem'!$J8</f>
        <v>159.87550230529672</v>
      </c>
      <c r="E66" s="341">
        <f>'2.3.Eq médicos de imagem'!$J7</f>
        <v>370.64377555020275</v>
      </c>
      <c r="F66" s="188">
        <f>'2.3.Eq médicos de imagem'!$J9</f>
        <v>424.47627497746953</v>
      </c>
    </row>
    <row r="67" spans="2:8" x14ac:dyDescent="0.45">
      <c r="B67" s="195" t="s">
        <v>12</v>
      </c>
      <c r="C67" s="341">
        <f>'3.3. Metroferroviários'!$J6</f>
        <v>223.68844913497944</v>
      </c>
      <c r="D67" s="188">
        <f>'3.3. Metroferroviários'!$J8</f>
        <v>235.78010170691579</v>
      </c>
      <c r="E67" s="341">
        <f>'3.3. Metroferroviários'!$J7</f>
        <v>1082.9891136759875</v>
      </c>
      <c r="F67" s="188">
        <f>'3.3. Metroferroviários'!$J9</f>
        <v>1141.5309299941712</v>
      </c>
    </row>
    <row r="68" spans="2:8" x14ac:dyDescent="0.45">
      <c r="B68" s="195" t="s">
        <v>13</v>
      </c>
      <c r="C68" s="341">
        <f>'4.1. Semicondutores'!$J6</f>
        <v>263.62302870038121</v>
      </c>
      <c r="D68" s="188">
        <f>'4.1. Semicondutores'!$J8</f>
        <v>301.91177783817807</v>
      </c>
      <c r="E68" s="341">
        <f>'4.1. Semicondutores'!$J7</f>
        <v>1322.8298992560071</v>
      </c>
      <c r="F68" s="188">
        <f>'4.1. Semicondutores'!$J9</f>
        <v>1514.9584185825784</v>
      </c>
    </row>
    <row r="69" spans="2:8" x14ac:dyDescent="0.45">
      <c r="B69" s="195" t="s">
        <v>14</v>
      </c>
      <c r="C69" s="341">
        <f>'4.2. Robos Industriais'!$J6</f>
        <v>129.21567958232441</v>
      </c>
      <c r="D69" s="188">
        <f>'4.2. Robos Industriais'!$J8</f>
        <v>152.46524734021358</v>
      </c>
      <c r="E69" s="341">
        <f>'4.2. Robos Industriais'!$J7</f>
        <v>393.46190093640854</v>
      </c>
      <c r="F69" s="188">
        <f>'4.2. Robos Industriais'!$J9</f>
        <v>464.25686293744621</v>
      </c>
    </row>
    <row r="70" spans="2:8" x14ac:dyDescent="0.45">
      <c r="B70" s="195" t="s">
        <v>15</v>
      </c>
      <c r="C70" s="341">
        <f>'5.1.Biocombustíveis'!$J6</f>
        <v>1085.6039071966854</v>
      </c>
      <c r="D70" s="188">
        <f>'5.1.Biocombustíveis'!$J8</f>
        <v>1556.3982709912459</v>
      </c>
      <c r="E70" s="341">
        <f>'5.1.Biocombustíveis'!$J7</f>
        <v>15661.161541333857</v>
      </c>
      <c r="F70" s="188">
        <f>'5.1.Biocombustíveis'!$J9</f>
        <v>22452.944930521924</v>
      </c>
    </row>
    <row r="71" spans="2:8" x14ac:dyDescent="0.45">
      <c r="B71" s="195" t="s">
        <v>951</v>
      </c>
      <c r="C71" s="341">
        <f>'5.2.Descarb Siderurgia'!$J$6</f>
        <v>2151.4391275976272</v>
      </c>
      <c r="D71" s="188">
        <f>'5.2.Descarb Siderurgia'!$J$8</f>
        <v>2862.9033338206755</v>
      </c>
      <c r="E71" s="341">
        <f>'5.2.Descarb Siderurgia'!$J$7</f>
        <v>8676.9820699684897</v>
      </c>
      <c r="F71" s="188">
        <f>'5.2.Descarb Siderurgia'!$J$9</f>
        <v>11546.392634103368</v>
      </c>
    </row>
    <row r="72" spans="2:8" x14ac:dyDescent="0.45">
      <c r="B72" s="195" t="s">
        <v>979</v>
      </c>
      <c r="C72" s="341">
        <f>'5.2.Descarb Alumínio'!$J$6</f>
        <v>2369.7827443893689</v>
      </c>
      <c r="D72" s="188">
        <f>'5.2.Descarb Alumínio'!$J$8</f>
        <v>2793.7503527517924</v>
      </c>
      <c r="E72" s="341">
        <f>'5.2.Descarb Alumínio'!$J$7</f>
        <v>9466.983555426832</v>
      </c>
      <c r="F72" s="188">
        <f>'5.2.Descarb Alumínio'!$J$9</f>
        <v>11160.680745982974</v>
      </c>
    </row>
    <row r="73" spans="2:8" x14ac:dyDescent="0.45">
      <c r="B73" s="367" t="s">
        <v>1008</v>
      </c>
      <c r="C73" s="341">
        <f>'5.3.Descarb Cimento'!$J$6</f>
        <v>2569.2689497904021</v>
      </c>
      <c r="D73" s="188">
        <f>'5.3.Descarb Cimento'!$J$8</f>
        <v>3157.2526302704432</v>
      </c>
      <c r="E73" s="341">
        <f>'5.3.Descarb Cimento'!$J$7</f>
        <v>7811.9191643741024</v>
      </c>
      <c r="F73" s="188">
        <f>'5.3.Descarb Cimento'!$J$9</f>
        <v>9599.6965717397143</v>
      </c>
    </row>
    <row r="74" spans="2:8" x14ac:dyDescent="0.45">
      <c r="B74" s="195" t="s">
        <v>762</v>
      </c>
      <c r="C74" s="341">
        <f>'5.3.Paineis solares'!$J6</f>
        <v>28.317417396722124</v>
      </c>
      <c r="D74" s="188">
        <f>'5.3.Paineis solares'!$J8</f>
        <v>32.430254185975699</v>
      </c>
      <c r="E74" s="341">
        <f>'5.3.Paineis solares'!$J7</f>
        <v>142.0935287283651</v>
      </c>
      <c r="F74" s="188">
        <f>'5.3.Paineis solares'!$J9</f>
        <v>162.731268543456</v>
      </c>
    </row>
    <row r="75" spans="2:8" x14ac:dyDescent="0.45">
      <c r="B75" s="195" t="s">
        <v>763</v>
      </c>
      <c r="C75" s="341">
        <f>'5.3.Aerogeradores'!$J6</f>
        <v>367.83265326170607</v>
      </c>
      <c r="D75" s="188">
        <f>'5.3.Aerogeradores'!$J8</f>
        <v>422.49051188402007</v>
      </c>
      <c r="E75" s="341">
        <f>'5.3.Aerogeradores'!$J7</f>
        <v>1371.9066550172581</v>
      </c>
      <c r="F75" s="188">
        <f>'5.3.Aerogeradores'!$J9</f>
        <v>1575.7642498447469</v>
      </c>
    </row>
    <row r="76" spans="2:8" s="241" customFormat="1" x14ac:dyDescent="0.45">
      <c r="B76" s="195" t="s">
        <v>805</v>
      </c>
      <c r="C76" s="370">
        <f>'5.4.Hidrogênio Verde'!$C$22</f>
        <v>3400</v>
      </c>
      <c r="D76" s="371">
        <f>'5.4.Hidrogênio Verde'!$C$23</f>
        <v>4756.6560191786539</v>
      </c>
      <c r="E76" s="370">
        <f>'5.4.Hidrogênio Verde'!$C$20</f>
        <v>4000</v>
      </c>
      <c r="F76" s="188">
        <f>'5.4.Hidrogênio Verde'!$C$21</f>
        <v>5596.065904916064</v>
      </c>
    </row>
    <row r="77" spans="2:8" x14ac:dyDescent="0.45">
      <c r="B77" s="195" t="s">
        <v>764</v>
      </c>
      <c r="C77" s="341">
        <f>'6.1. Satélite'!$J6</f>
        <v>7.1118723867999094</v>
      </c>
      <c r="D77" s="188">
        <f>'6.1. Satélite'!$J8</f>
        <v>7.4963101634024962</v>
      </c>
      <c r="E77" s="341">
        <f>'6.1. Satélite'!$J7</f>
        <v>34.493718889684075</v>
      </c>
      <c r="F77" s="188">
        <f>'6.1. Satélite'!$J9</f>
        <v>36.358303611608711</v>
      </c>
    </row>
    <row r="78" spans="2:8" x14ac:dyDescent="0.45">
      <c r="B78" s="195" t="s">
        <v>16</v>
      </c>
      <c r="C78" s="341">
        <f>'6.2. Radares'!$J6</f>
        <v>31.188972110877483</v>
      </c>
      <c r="D78" s="188">
        <f>'6.2. Radares'!$J8</f>
        <v>35.718875036681339</v>
      </c>
      <c r="E78" s="341">
        <f>'6.2. Radares'!$J7</f>
        <v>92.828581466300065</v>
      </c>
      <c r="F78" s="188">
        <f>'6.2. Radares'!$J9</f>
        <v>106.31105409436591</v>
      </c>
    </row>
    <row r="80" spans="2:8" x14ac:dyDescent="0.45">
      <c r="B80" s="422" t="s">
        <v>303</v>
      </c>
      <c r="C80" s="191">
        <f>SUM(C61:C78)</f>
        <v>30343.755652361495</v>
      </c>
      <c r="D80" s="191">
        <f>SUM(D61:D78)</f>
        <v>37062.260823100973</v>
      </c>
      <c r="E80" s="191">
        <f>SUM(E61:E78)</f>
        <v>123916.58651948767</v>
      </c>
      <c r="F80" s="191">
        <f>SUM(F61:F78)</f>
        <v>152143.32306511703</v>
      </c>
      <c r="G80" s="191"/>
      <c r="H80" s="191"/>
    </row>
    <row r="82" spans="1:10" s="338" customFormat="1" ht="20.45" customHeight="1" x14ac:dyDescent="0.7">
      <c r="A82" s="325" t="s">
        <v>982</v>
      </c>
      <c r="B82" s="423"/>
    </row>
    <row r="84" spans="1:10" ht="15.75" x14ac:dyDescent="0.5">
      <c r="B84" s="424" t="s">
        <v>753</v>
      </c>
      <c r="C84" s="221"/>
      <c r="D84" s="221"/>
      <c r="E84" s="221"/>
      <c r="F84" s="221"/>
      <c r="G84" s="221"/>
      <c r="H84" s="221"/>
      <c r="I84" s="221"/>
      <c r="J84" s="221"/>
    </row>
    <row r="87" spans="1:10" x14ac:dyDescent="0.45">
      <c r="B87" s="425" t="s">
        <v>754</v>
      </c>
      <c r="C87" s="181" t="s">
        <v>921</v>
      </c>
      <c r="D87" s="181" t="s">
        <v>923</v>
      </c>
      <c r="E87" s="181" t="s">
        <v>922</v>
      </c>
      <c r="F87" s="181" t="s">
        <v>924</v>
      </c>
    </row>
    <row r="88" spans="1:10" x14ac:dyDescent="0.45">
      <c r="B88" s="290" t="s">
        <v>776</v>
      </c>
      <c r="C88" s="180">
        <f>'1.1. Agricultura de precisão '!$J$14</f>
        <v>15.341199182670275</v>
      </c>
      <c r="D88" s="218">
        <f>'1.1. Agricultura de precisão '!$J$16</f>
        <v>20.840705061504863</v>
      </c>
      <c r="E88" s="340">
        <f>'1.1. Agricultura de precisão '!$J15</f>
        <v>29.280760815502305</v>
      </c>
      <c r="F88" s="218">
        <f>'1.1. Agricultura de precisão '!$J$17</f>
        <v>39.77731420250916</v>
      </c>
    </row>
    <row r="89" spans="1:10" x14ac:dyDescent="0.45">
      <c r="B89" s="290" t="s">
        <v>9</v>
      </c>
      <c r="C89" s="180">
        <f>'1.2. Máquinas agrícolas'!$J$14</f>
        <v>8115.8341315407251</v>
      </c>
      <c r="D89" s="218">
        <f>'1.2. Máquinas agrícolas'!$J$16</f>
        <v>13995.824517881356</v>
      </c>
      <c r="E89" s="340">
        <f>'1.2. Máquinas agrícolas'!$J$15</f>
        <v>34128.317074607679</v>
      </c>
      <c r="F89" s="218">
        <f>'1.2. Máquinas agrícolas'!$J$17</f>
        <v>58854.571092145321</v>
      </c>
    </row>
    <row r="90" spans="1:10" x14ac:dyDescent="0.45">
      <c r="B90" s="291" t="s">
        <v>288</v>
      </c>
      <c r="C90" s="180">
        <f>'1.3. (Bio) Fertilizantes'!$J$14</f>
        <v>6389.2008856455504</v>
      </c>
      <c r="D90" s="218">
        <f>'1.3. (Bio) Fertilizantes'!$J$16</f>
        <v>9418.9335062032187</v>
      </c>
      <c r="E90" s="340">
        <f>'1.3. (Bio) Fertilizantes'!$J$15</f>
        <v>46405.84623889497</v>
      </c>
      <c r="F90" s="218">
        <f>'1.3. (Bio) Fertilizantes'!$J$17</f>
        <v>68411.306491434501</v>
      </c>
    </row>
    <row r="91" spans="1:10" x14ac:dyDescent="0.45">
      <c r="B91" s="195" t="s">
        <v>10</v>
      </c>
      <c r="C91" s="341">
        <f>'2.1. Princípio ativo'!$J14</f>
        <v>248.09670700403581</v>
      </c>
      <c r="D91" s="188">
        <f>'2.1. Princípio ativo'!$J16</f>
        <v>430.89034625936705</v>
      </c>
      <c r="E91" s="341">
        <f>'2.1. Princípio ativo'!$J15</f>
        <v>582.18216585836808</v>
      </c>
      <c r="F91" s="188">
        <f>'2.1. Princípio ativo'!$J17</f>
        <v>1011.1245653440284</v>
      </c>
    </row>
    <row r="92" spans="1:10" x14ac:dyDescent="0.45">
      <c r="B92" s="195" t="s">
        <v>11</v>
      </c>
      <c r="C92" s="341">
        <f>'2.2. Biofármacos e vacinas'!$J14</f>
        <v>13312.929529735608</v>
      </c>
      <c r="D92" s="188">
        <f>'2.2. Biofármacos e vacinas'!$J16</f>
        <v>23121.68059006528</v>
      </c>
      <c r="E92" s="341">
        <f>'2.2. Biofármacos e vacinas'!$J15</f>
        <v>30904.918025551786</v>
      </c>
      <c r="F92" s="188">
        <f>'2.2. Biofármacos e vacinas'!$J17</f>
        <v>53675.161552751844</v>
      </c>
    </row>
    <row r="93" spans="1:10" x14ac:dyDescent="0.45">
      <c r="B93" s="195" t="s">
        <v>289</v>
      </c>
      <c r="C93" s="341">
        <f>'2.3.Eq médicos de imagem'!$J14</f>
        <v>194.54916877919348</v>
      </c>
      <c r="D93" s="188">
        <f>'2.3.Eq médicos de imagem'!$J16</f>
        <v>285.78156875104054</v>
      </c>
      <c r="E93" s="341">
        <f>'2.3.Eq médicos de imagem'!$J15</f>
        <v>516.53633779150357</v>
      </c>
      <c r="F93" s="188">
        <f>'2.3.Eq médicos de imagem'!$J17</f>
        <v>758.7622494471459</v>
      </c>
    </row>
    <row r="94" spans="1:10" x14ac:dyDescent="0.45">
      <c r="B94" s="195" t="s">
        <v>12</v>
      </c>
      <c r="C94" s="341">
        <f>'3.3. Metroferroviários'!$J14</f>
        <v>313.7349492704875</v>
      </c>
      <c r="D94" s="188">
        <f>'3.3. Metroferroviários'!$J16</f>
        <v>426.20250655622755</v>
      </c>
      <c r="E94" s="341">
        <f>'3.3. Metroferroviários'!$J15</f>
        <v>1518.9498427547287</v>
      </c>
      <c r="F94" s="188">
        <f>'3.3. Metroferroviários'!$J17</f>
        <v>2063.4622690923488</v>
      </c>
    </row>
    <row r="95" spans="1:10" x14ac:dyDescent="0.45">
      <c r="B95" s="195" t="s">
        <v>13</v>
      </c>
      <c r="C95" s="341">
        <f>'4.1. Semicondutores'!$J14</f>
        <v>367.39015406439859</v>
      </c>
      <c r="D95" s="188">
        <f>'4.1. Semicondutores'!$J16</f>
        <v>539.67506122513464</v>
      </c>
      <c r="E95" s="341">
        <f>'4.1. Semicondutores'!$J15</f>
        <v>1843.5213451743284</v>
      </c>
      <c r="F95" s="188">
        <f>'4.1. Semicondutores'!$J17</f>
        <v>2708.0271036670333</v>
      </c>
    </row>
    <row r="96" spans="1:10" x14ac:dyDescent="0.45">
      <c r="B96" s="195" t="s">
        <v>14</v>
      </c>
      <c r="C96" s="341">
        <f>'4.2. Robos Industriais'!$J14</f>
        <v>214.31938543884669</v>
      </c>
      <c r="D96" s="188">
        <f>'4.2. Robos Industriais'!$J16</f>
        <v>369.59559063990253</v>
      </c>
      <c r="E96" s="341">
        <f>'4.2. Robos Industriais'!$J15</f>
        <v>652.6027884144379</v>
      </c>
      <c r="F96" s="188">
        <f>'4.2. Robos Industriais'!$J17</f>
        <v>1125.4190214450041</v>
      </c>
    </row>
    <row r="97" spans="1:10" x14ac:dyDescent="0.45">
      <c r="B97" s="195" t="s">
        <v>15</v>
      </c>
      <c r="C97" s="341">
        <f>'5.1.Biocombustíveis'!$J14</f>
        <v>1434.5087536490419</v>
      </c>
      <c r="D97" s="188">
        <f>'5.1.Biocombustíveis'!$J16</f>
        <v>2534.6990289335336</v>
      </c>
      <c r="E97" s="341">
        <f>'5.1.Biocombustíveis'!$J15</f>
        <v>20694.539854198243</v>
      </c>
      <c r="F97" s="188">
        <f>'5.1.Biocombustíveis'!$J17</f>
        <v>36566.127560554276</v>
      </c>
    </row>
    <row r="98" spans="1:10" x14ac:dyDescent="0.45">
      <c r="B98" s="195" t="s">
        <v>951</v>
      </c>
      <c r="C98" s="341">
        <f>'5.2.Descarb Siderurgia'!$J$14</f>
        <v>3601.577501862731</v>
      </c>
      <c r="D98" s="188">
        <f>'5.2.Descarb Siderurgia'!$J$16</f>
        <v>7053.3130990932486</v>
      </c>
      <c r="E98" s="341">
        <f>'5.2.Descarb Siderurgia'!$J$15</f>
        <v>14525.543858710331</v>
      </c>
      <c r="F98" s="188">
        <f>'5.2.Descarb Siderurgia'!$J$17</f>
        <v>28446.759431695253</v>
      </c>
    </row>
    <row r="99" spans="1:10" x14ac:dyDescent="0.45">
      <c r="B99" s="195" t="s">
        <v>979</v>
      </c>
      <c r="C99" s="341">
        <f>'5.2.Descarb Alumínio'!$J$14</f>
        <v>4046.6917647025416</v>
      </c>
      <c r="D99" s="188">
        <f>'5.2.Descarb Alumínio'!$J$16</f>
        <v>7126.4440956941753</v>
      </c>
      <c r="E99" s="341">
        <f>'5.2.Descarb Alumínio'!$J$15</f>
        <v>16166.023860635214</v>
      </c>
      <c r="F99" s="188">
        <f>'5.2.Descarb Alumínio'!$J$17</f>
        <v>28469.246483601008</v>
      </c>
    </row>
    <row r="100" spans="1:10" x14ac:dyDescent="0.45">
      <c r="B100" s="367" t="s">
        <v>1008</v>
      </c>
      <c r="C100" s="341">
        <f>'5.3.Descarb Cimento'!$J$14</f>
        <v>4357.2323619977233</v>
      </c>
      <c r="D100" s="188">
        <f>'5.3.Descarb Cimento'!$J$16</f>
        <v>7957.2197163150886</v>
      </c>
      <c r="E100" s="341">
        <f>'5.3.Descarb Cimento'!$J$15</f>
        <v>13248.261531786255</v>
      </c>
      <c r="F100" s="188">
        <f>'5.3.Descarb Cimento'!$J$17</f>
        <v>24194.102840844411</v>
      </c>
    </row>
    <row r="101" spans="1:10" x14ac:dyDescent="0.45">
      <c r="B101" s="195" t="s">
        <v>762</v>
      </c>
      <c r="C101" s="341">
        <f>'5.3.Paineis solares'!$J14</f>
        <v>39.46370084349379</v>
      </c>
      <c r="D101" s="188">
        <f>'5.3.Paineis solares'!$J16</f>
        <v>57.969912729750867</v>
      </c>
      <c r="E101" s="341">
        <f>'5.3.Paineis solares'!$J15</f>
        <v>198.02429123291768</v>
      </c>
      <c r="F101" s="188">
        <f>'5.3.Paineis solares'!$J17</f>
        <v>290.88632428743881</v>
      </c>
    </row>
    <row r="102" spans="1:10" x14ac:dyDescent="0.45">
      <c r="B102" s="195" t="s">
        <v>763</v>
      </c>
      <c r="C102" s="341">
        <f>'5.3.Aerogeradores'!$J14</f>
        <v>499.31881692245071</v>
      </c>
      <c r="D102" s="188">
        <f>'5.3.Aerogeradores'!$J16</f>
        <v>721.25751784608747</v>
      </c>
      <c r="E102" s="341">
        <f>'5.3.Aerogeradores'!$J15</f>
        <v>1862.3110314893004</v>
      </c>
      <c r="F102" s="188">
        <f>'5.3.Aerogeradores'!$J17</f>
        <v>2690.0765332822884</v>
      </c>
    </row>
    <row r="103" spans="1:10" s="241" customFormat="1" x14ac:dyDescent="0.45">
      <c r="B103" s="195" t="s">
        <v>805</v>
      </c>
      <c r="C103" s="370">
        <f>'5.4.Hidrogênio Verde'!$C$22</f>
        <v>3400</v>
      </c>
      <c r="D103" s="371">
        <f>'5.4.Hidrogênio Verde'!$C$23</f>
        <v>4756.6560191786539</v>
      </c>
      <c r="E103" s="370">
        <f>'5.4.Hidrogênio Verde'!$C$20</f>
        <v>4000</v>
      </c>
      <c r="F103" s="188">
        <f>'5.4.Hidrogênio Verde'!$C$21</f>
        <v>5596.065904916064</v>
      </c>
    </row>
    <row r="104" spans="1:10" x14ac:dyDescent="0.45">
      <c r="B104" s="195" t="s">
        <v>764</v>
      </c>
      <c r="C104" s="341">
        <f>'6.1. Satélite'!$J14</f>
        <v>9.9747793465386323</v>
      </c>
      <c r="D104" s="188">
        <f>'6.1. Satélite'!$J16</f>
        <v>13.550533562567189</v>
      </c>
      <c r="E104" s="341">
        <f>'6.1. Satélite'!$J15</f>
        <v>48.379275674960233</v>
      </c>
      <c r="F104" s="188">
        <f>'6.1. Satélite'!$J17</f>
        <v>65.722255700195305</v>
      </c>
    </row>
    <row r="105" spans="1:10" x14ac:dyDescent="0.45">
      <c r="B105" s="195" t="s">
        <v>16</v>
      </c>
      <c r="C105" s="341">
        <f>'6.2. Radares'!$J14</f>
        <v>43.465555059488402</v>
      </c>
      <c r="D105" s="188">
        <f>'6.2. Radares'!$J16</f>
        <v>63.848407009301937</v>
      </c>
      <c r="E105" s="341">
        <f>'6.2. Radares'!$J15</f>
        <v>129.36770742151117</v>
      </c>
      <c r="F105" s="188">
        <f>'6.2. Radares'!$J17</f>
        <v>190.03374110842788</v>
      </c>
    </row>
    <row r="107" spans="1:10" x14ac:dyDescent="0.45">
      <c r="B107" s="422" t="s">
        <v>303</v>
      </c>
      <c r="C107" s="191">
        <f>SUM(C88:C105)</f>
        <v>46603.629345045534</v>
      </c>
      <c r="D107" s="191">
        <f>SUM(D88:D105)</f>
        <v>78894.382723005416</v>
      </c>
      <c r="E107" s="191">
        <f>SUM(E88:E105)</f>
        <v>187454.60599101207</v>
      </c>
      <c r="F107" s="191">
        <f>SUM(F88:F105)</f>
        <v>315156.6327355192</v>
      </c>
      <c r="G107" s="191"/>
      <c r="H107" s="191"/>
    </row>
    <row r="109" spans="1:10" s="338" customFormat="1" ht="20.45" customHeight="1" x14ac:dyDescent="0.7">
      <c r="A109" s="326" t="s">
        <v>983</v>
      </c>
      <c r="B109" s="423"/>
    </row>
    <row r="111" spans="1:10" ht="15.75" x14ac:dyDescent="0.5">
      <c r="B111" s="424" t="s">
        <v>753</v>
      </c>
      <c r="C111" s="221"/>
      <c r="D111" s="221"/>
      <c r="E111" s="221"/>
      <c r="F111" s="221"/>
      <c r="G111" s="221"/>
      <c r="H111" s="221"/>
      <c r="I111" s="221"/>
      <c r="J111" s="221"/>
    </row>
    <row r="114" spans="2:6" x14ac:dyDescent="0.45">
      <c r="B114" s="425" t="s">
        <v>754</v>
      </c>
      <c r="C114" s="181" t="s">
        <v>921</v>
      </c>
      <c r="D114" s="181" t="s">
        <v>923</v>
      </c>
      <c r="E114" s="181" t="s">
        <v>922</v>
      </c>
      <c r="F114" s="181" t="s">
        <v>924</v>
      </c>
    </row>
    <row r="115" spans="2:6" x14ac:dyDescent="0.45">
      <c r="B115" s="290" t="s">
        <v>776</v>
      </c>
      <c r="C115" s="180">
        <f>'1.1. Agricultura de precisão '!$J$22</f>
        <v>9.9338345369053638</v>
      </c>
      <c r="D115" s="218">
        <f>'1.1. Agricultura de precisão '!$J$24</f>
        <v>9.7412172839906042</v>
      </c>
      <c r="E115" s="340">
        <f>'1.1. Agricultura de precisão '!$J23</f>
        <v>18.960071477624442</v>
      </c>
      <c r="F115" s="218">
        <f>'1.1. Agricultura de precisão '!$J25</f>
        <v>18.592435307571503</v>
      </c>
    </row>
    <row r="116" spans="2:6" x14ac:dyDescent="0.45">
      <c r="B116" s="290" t="s">
        <v>9</v>
      </c>
      <c r="C116" s="180">
        <f>'1.2. Máquinas agrícolas'!$J$22</f>
        <v>4506.659087346753</v>
      </c>
      <c r="D116" s="218">
        <f>'1.2. Máquinas agrícolas'!$J$24</f>
        <v>4999.3229272713379</v>
      </c>
      <c r="E116" s="340">
        <f>'1.2. Máquinas agrícolas'!$J$23</f>
        <v>18951.186999053847</v>
      </c>
      <c r="F116" s="218">
        <f>'1.2. Máquinas agrícolas'!$J$25</f>
        <v>21022.913388186942</v>
      </c>
    </row>
    <row r="117" spans="2:6" x14ac:dyDescent="0.45">
      <c r="B117" s="291" t="s">
        <v>288</v>
      </c>
      <c r="C117" s="180">
        <f>'1.3. (Bio) Fertilizantes'!$J$22</f>
        <v>4493.2578206699318</v>
      </c>
      <c r="D117" s="218">
        <f>'1.3. (Bio) Fertilizantes'!$J$24</f>
        <v>5086.8932443193098</v>
      </c>
      <c r="E117" s="340">
        <f>'1.3. (Bio) Fertilizantes'!$J$23</f>
        <v>32635.291215554487</v>
      </c>
      <c r="F117" s="218">
        <f>'1.3. (Bio) Fertilizantes'!$J$25</f>
        <v>36946.965661998329</v>
      </c>
    </row>
    <row r="118" spans="2:6" x14ac:dyDescent="0.45">
      <c r="B118" s="195" t="s">
        <v>10</v>
      </c>
      <c r="C118" s="341">
        <f>'2.1. Princípio ativo'!$J22</f>
        <v>123.54523908982331</v>
      </c>
      <c r="D118" s="188">
        <f>'2.1. Princípio ativo'!$J24</f>
        <v>127.19661069982236</v>
      </c>
      <c r="E118" s="341">
        <f>'2.1. Princípio ativo'!$J23</f>
        <v>289.91047782683074</v>
      </c>
      <c r="F118" s="188">
        <f>'2.1. Princípio ativo'!$J25</f>
        <v>298.47876338746266</v>
      </c>
    </row>
    <row r="119" spans="2:6" x14ac:dyDescent="0.45">
      <c r="B119" s="195" t="s">
        <v>11</v>
      </c>
      <c r="C119" s="341">
        <f>'2.2. Biofármacos e vacinas'!$J22</f>
        <v>6629.4675233653916</v>
      </c>
      <c r="D119" s="188">
        <f>'2.2. Biofármacos e vacinas'!$J24</f>
        <v>6825.4010104229365</v>
      </c>
      <c r="E119" s="341">
        <f>'2.2. Biofármacos e vacinas'!$J23</f>
        <v>15389.787041615489</v>
      </c>
      <c r="F119" s="188">
        <f>'2.2. Biofármacos e vacinas'!$J25</f>
        <v>15844.631209643934</v>
      </c>
    </row>
    <row r="120" spans="2:6" x14ac:dyDescent="0.45">
      <c r="B120" s="195" t="s">
        <v>289</v>
      </c>
      <c r="C120" s="341">
        <f>'2.3.Eq médicos de imagem'!$J22</f>
        <v>122.98363721599003</v>
      </c>
      <c r="D120" s="188">
        <f>'2.3.Eq médicos de imagem'!$J24</f>
        <v>128.07537450275987</v>
      </c>
      <c r="E120" s="341">
        <f>'2.3.Eq médicos de imagem'!$J23</f>
        <v>326.52680026572415</v>
      </c>
      <c r="F120" s="188">
        <f>'2.3.Eq médicos de imagem'!$J25</f>
        <v>340.04557985038309</v>
      </c>
    </row>
    <row r="121" spans="2:6" x14ac:dyDescent="0.45">
      <c r="B121" s="195" t="s">
        <v>12</v>
      </c>
      <c r="C121" s="341">
        <f>'3.3. Metroferroviários'!$J22</f>
        <v>203.15172480245121</v>
      </c>
      <c r="D121" s="188">
        <f>'3.3. Metroferroviários'!$J24</f>
        <v>199.21260874299108</v>
      </c>
      <c r="E121" s="341">
        <f>'3.3. Metroferroviários'!$J23</f>
        <v>983.56042628197724</v>
      </c>
      <c r="F121" s="188">
        <f>'3.3. Metroferroviários'!$J25</f>
        <v>964.48916969095251</v>
      </c>
    </row>
    <row r="122" spans="2:6" x14ac:dyDescent="0.45">
      <c r="B122" s="195" t="s">
        <v>13</v>
      </c>
      <c r="C122" s="341">
        <f>'4.1. Semicondutores'!$J22</f>
        <v>232.24451539787242</v>
      </c>
      <c r="D122" s="188">
        <f>'4.1. Semicondutores'!$J24</f>
        <v>241.85984379007408</v>
      </c>
      <c r="E122" s="341">
        <f>'4.1. Semicondutores'!$J23</f>
        <v>1165.376144948613</v>
      </c>
      <c r="F122" s="188">
        <f>'4.1. Semicondutores'!$J25</f>
        <v>1213.6247518744735</v>
      </c>
    </row>
    <row r="123" spans="2:6" x14ac:dyDescent="0.45">
      <c r="B123" s="195" t="s">
        <v>14</v>
      </c>
      <c r="C123" s="341">
        <f>'4.2. Robos Industriais'!$J22</f>
        <v>119.00987505756088</v>
      </c>
      <c r="D123" s="188">
        <f>'4.2. Robos Industriais'!$J24</f>
        <v>132.01992549590497</v>
      </c>
      <c r="E123" s="341">
        <f>'4.2. Robos Industriais'!$J23</f>
        <v>362.38521378916113</v>
      </c>
      <c r="F123" s="188">
        <f>'4.2. Robos Industriais'!$J25</f>
        <v>402.00083314198196</v>
      </c>
    </row>
    <row r="124" spans="2:6" x14ac:dyDescent="0.45">
      <c r="B124" s="195" t="s">
        <v>15</v>
      </c>
      <c r="C124" s="341">
        <f>'5.1.Biocombustíveis'!$J22</f>
        <v>1030.7584306356439</v>
      </c>
      <c r="D124" s="188">
        <f>'5.1.Biocombustíveis'!$J24</f>
        <v>1421.4132548432103</v>
      </c>
      <c r="E124" s="341">
        <f>'5.1.Biocombustíveis'!$J23</f>
        <v>14869.948592909665</v>
      </c>
      <c r="F124" s="188">
        <f>'5.1.Biocombustíveis'!$J25</f>
        <v>20505.621298449794</v>
      </c>
    </row>
    <row r="125" spans="2:6" x14ac:dyDescent="0.45">
      <c r="B125" s="195" t="s">
        <v>951</v>
      </c>
      <c r="C125" s="341">
        <f>'5.2.Descarb Siderurgia'!$J$22</f>
        <v>1959.2184731558189</v>
      </c>
      <c r="D125" s="188">
        <f>'5.2.Descarb Siderurgia'!$J$24</f>
        <v>2430.3892846960039</v>
      </c>
      <c r="E125" s="341">
        <f>'5.2.Descarb Siderurgia'!$J$23</f>
        <v>7901.7357938018904</v>
      </c>
      <c r="F125" s="188">
        <f>'5.2.Descarb Siderurgia'!$J$25</f>
        <v>9802.0176243140431</v>
      </c>
    </row>
    <row r="126" spans="2:6" x14ac:dyDescent="0.45">
      <c r="B126" s="195" t="s">
        <v>979</v>
      </c>
      <c r="C126" s="341">
        <f>'5.2.Descarb Alumínio'!$J$22</f>
        <v>2149.6476038518285</v>
      </c>
      <c r="D126" s="188">
        <f>'5.2.Descarb Alumínio'!$J$24</f>
        <v>2355.5394768682363</v>
      </c>
      <c r="E126" s="341">
        <f>'5.2.Descarb Alumínio'!$J$23</f>
        <v>8587.5713981839235</v>
      </c>
      <c r="F126" s="188">
        <f>'5.2.Descarb Alumínio'!$J$25</f>
        <v>9410.0834958254363</v>
      </c>
    </row>
    <row r="127" spans="2:6" x14ac:dyDescent="0.45">
      <c r="B127" s="367" t="s">
        <v>1008</v>
      </c>
      <c r="C127" s="341">
        <f>'5.3.Descarb Cimento'!$J$22</f>
        <v>2333.7641281198039</v>
      </c>
      <c r="D127" s="188">
        <f>'5.3.Descarb Cimento'!$J$24</f>
        <v>2668.3467747205536</v>
      </c>
      <c r="E127" s="341">
        <f>'5.3.Descarb Cimento'!$J$23</f>
        <v>7095.8615364402367</v>
      </c>
      <c r="F127" s="188">
        <f>'5.3.Descarb Cimento'!$J$25</f>
        <v>8113.1674861582014</v>
      </c>
    </row>
    <row r="128" spans="2:6" x14ac:dyDescent="0.45">
      <c r="B128" s="195" t="s">
        <v>762</v>
      </c>
      <c r="C128" s="341">
        <f>'5.3.Paineis solares'!$J22</f>
        <v>24.946852758055361</v>
      </c>
      <c r="D128" s="188">
        <f>'5.3.Paineis solares'!$J24</f>
        <v>25.979696014696593</v>
      </c>
      <c r="E128" s="341">
        <f>'5.3.Paineis solares'!$J23</f>
        <v>125.18042480347658</v>
      </c>
      <c r="F128" s="188">
        <f>'5.3.Paineis solares'!$J25</f>
        <v>130.36311293154145</v>
      </c>
    </row>
    <row r="129" spans="1:10" x14ac:dyDescent="0.45">
      <c r="B129" s="195" t="s">
        <v>763</v>
      </c>
      <c r="C129" s="341">
        <f>'5.3.Aerogeradores'!$J22</f>
        <v>334.75756826008427</v>
      </c>
      <c r="D129" s="188">
        <f>'5.3.Aerogeradores'!$J24</f>
        <v>358.26730612408181</v>
      </c>
      <c r="E129" s="341">
        <f>'5.3.Aerogeradores'!$J23</f>
        <v>1248.5464018515277</v>
      </c>
      <c r="F129" s="188">
        <f>'5.3.Aerogeradores'!$J25</f>
        <v>1336.2307483806594</v>
      </c>
    </row>
    <row r="130" spans="1:10" s="241" customFormat="1" x14ac:dyDescent="0.45">
      <c r="B130" s="195" t="s">
        <v>805</v>
      </c>
      <c r="C130" s="370">
        <f>'5.4.Hidrogênio Verde'!$C$22</f>
        <v>3400</v>
      </c>
      <c r="D130" s="371">
        <f>'5.4.Hidrogênio Verde'!$C$23</f>
        <v>4756.6560191786539</v>
      </c>
      <c r="E130" s="370">
        <f>'5.4.Hidrogênio Verde'!$C$20</f>
        <v>4000</v>
      </c>
      <c r="F130" s="188">
        <f>'5.4.Hidrogênio Verde'!$C$21</f>
        <v>5596.065904916064</v>
      </c>
    </row>
    <row r="131" spans="1:10" x14ac:dyDescent="0.45">
      <c r="B131" s="195" t="s">
        <v>764</v>
      </c>
      <c r="C131" s="341">
        <f>'6.1. Satélite'!$J22</f>
        <v>6.4589349496607387</v>
      </c>
      <c r="D131" s="188">
        <f>'6.1. Satélite'!$J24</f>
        <v>6.3336960701387568</v>
      </c>
      <c r="E131" s="341">
        <f>'6.1. Satélite'!$J23</f>
        <v>31.326867857453514</v>
      </c>
      <c r="F131" s="188">
        <f>'6.1. Satélite'!$J25</f>
        <v>30.719439255063467</v>
      </c>
    </row>
    <row r="132" spans="1:10" x14ac:dyDescent="0.45">
      <c r="B132" s="195" t="s">
        <v>16</v>
      </c>
      <c r="C132" s="341">
        <f>'6.2. Radares'!$J22</f>
        <v>27.476612150909659</v>
      </c>
      <c r="D132" s="188">
        <f>'6.2. Radares'!$J24</f>
        <v>28.61419186289357</v>
      </c>
      <c r="E132" s="341">
        <f>'6.2. Radares'!$J23</f>
        <v>81.779384084898837</v>
      </c>
      <c r="F132" s="188">
        <f>'6.2. Radares'!$J25</f>
        <v>85.165193357256342</v>
      </c>
    </row>
    <row r="134" spans="1:10" x14ac:dyDescent="0.45">
      <c r="B134" s="422" t="s">
        <v>303</v>
      </c>
      <c r="C134" s="191">
        <f>SUM(C115:C132)</f>
        <v>27707.281861364485</v>
      </c>
      <c r="D134" s="191">
        <f>SUM(D115:D132)</f>
        <v>31801.262462907591</v>
      </c>
      <c r="E134" s="191">
        <f>SUM(E115:E132)</f>
        <v>114064.93479074686</v>
      </c>
      <c r="F134" s="191">
        <f>SUM(F115:F132)</f>
        <v>132061.17609667013</v>
      </c>
      <c r="G134" s="191"/>
      <c r="H134" s="191"/>
    </row>
    <row r="137" spans="1:10" s="338" customFormat="1" ht="20.45" customHeight="1" x14ac:dyDescent="0.7">
      <c r="A137" s="326" t="s">
        <v>984</v>
      </c>
      <c r="B137" s="423"/>
    </row>
    <row r="139" spans="1:10" ht="15.75" x14ac:dyDescent="0.5">
      <c r="B139" s="424" t="s">
        <v>753</v>
      </c>
      <c r="C139" s="221"/>
      <c r="D139" s="221"/>
      <c r="E139" s="221"/>
      <c r="F139" s="221"/>
      <c r="G139" s="221"/>
      <c r="H139" s="221"/>
      <c r="I139" s="221"/>
      <c r="J139" s="221"/>
    </row>
    <row r="142" spans="1:10" x14ac:dyDescent="0.45">
      <c r="B142" s="425" t="s">
        <v>754</v>
      </c>
      <c r="C142" s="181" t="s">
        <v>921</v>
      </c>
      <c r="D142" s="181" t="s">
        <v>923</v>
      </c>
      <c r="E142" s="181" t="s">
        <v>922</v>
      </c>
      <c r="F142" s="181" t="s">
        <v>924</v>
      </c>
    </row>
    <row r="143" spans="1:10" x14ac:dyDescent="0.45">
      <c r="B143" s="290" t="s">
        <v>776</v>
      </c>
      <c r="C143" s="180">
        <f>'1.1. Agricultura de precisão '!N14</f>
        <v>12.516907539565251</v>
      </c>
      <c r="D143" s="218">
        <f>'1.1. Agricultura de precisão '!N16</f>
        <v>14.597498680887792</v>
      </c>
      <c r="E143" s="340">
        <f>'1.1. Agricultura de precisão '!N15</f>
        <v>23.89021688928845</v>
      </c>
      <c r="F143" s="218">
        <f>'1.1. Agricultura de precisão '!N17</f>
        <v>27.861307469530459</v>
      </c>
    </row>
    <row r="144" spans="1:10" x14ac:dyDescent="0.45">
      <c r="B144" s="290" t="s">
        <v>9</v>
      </c>
      <c r="C144" s="180">
        <f>'1.2. Máquinas agrícolas'!$N14</f>
        <v>4992.579556533623</v>
      </c>
      <c r="D144" s="218">
        <f>'1.2. Máquinas agrícolas'!$N16</f>
        <v>5980.4545447463515</v>
      </c>
      <c r="E144" s="340">
        <f>'1.2. Máquinas agrícolas'!$N15</f>
        <v>20994.556488457561</v>
      </c>
      <c r="F144" s="218">
        <f>'1.2. Máquinas agrícolas'!$N17</f>
        <v>25148.721085879901</v>
      </c>
    </row>
    <row r="145" spans="2:6" x14ac:dyDescent="0.45">
      <c r="B145" s="291" t="s">
        <v>288</v>
      </c>
      <c r="C145" s="180">
        <f>'1.3. (Bio) Fertilizantes'!$N14</f>
        <v>4357.6335482129043</v>
      </c>
      <c r="D145" s="218">
        <f>'1.3. (Bio) Fertilizantes'!$N16</f>
        <v>4821.2429356409784</v>
      </c>
      <c r="E145" s="340">
        <f>'1.3. (Bio) Fertilizantes'!$N15</f>
        <v>31650.229195037515</v>
      </c>
      <c r="F145" s="218">
        <f>'1.3. (Bio) Fertilizantes'!$N17</f>
        <v>35017.502557224463</v>
      </c>
    </row>
    <row r="146" spans="2:6" x14ac:dyDescent="0.45">
      <c r="B146" s="195" t="s">
        <v>10</v>
      </c>
      <c r="C146" s="341">
        <f>'2.1. Princípio ativo'!$N14</f>
        <v>216.06086672017651</v>
      </c>
      <c r="D146" s="188">
        <f>'2.1. Princípio ativo'!$N16</f>
        <v>338.28926285979702</v>
      </c>
      <c r="E146" s="341">
        <f>'2.1. Princípio ativo'!$N15</f>
        <v>507.00706536319478</v>
      </c>
      <c r="F146" s="188">
        <f>'2.1. Princípio ativo'!$N17</f>
        <v>793.82744783929638</v>
      </c>
    </row>
    <row r="147" spans="2:6" x14ac:dyDescent="0.45">
      <c r="B147" s="195" t="s">
        <v>11</v>
      </c>
      <c r="C147" s="341">
        <f>'2.2. Biofármacos e vacinas'!$N14</f>
        <v>11593.878562574055</v>
      </c>
      <c r="D147" s="188">
        <f>'2.2. Biofármacos e vacinas'!$N16</f>
        <v>18152.683973533844</v>
      </c>
      <c r="E147" s="341">
        <f>'2.2. Biofármacos e vacinas'!$N15</f>
        <v>26914.276513988971</v>
      </c>
      <c r="F147" s="188">
        <f>'2.2. Biofármacos e vacinas'!$N17</f>
        <v>42140.0270235602</v>
      </c>
    </row>
    <row r="148" spans="2:6" x14ac:dyDescent="0.45">
      <c r="B148" s="195" t="s">
        <v>289</v>
      </c>
      <c r="C148" s="341">
        <f>'2.3.Eq médicos de imagem'!$N14</f>
        <v>270.36129259296467</v>
      </c>
      <c r="D148" s="188">
        <f>'2.3.Eq médicos de imagem'!$N16</f>
        <v>508.31824881999444</v>
      </c>
      <c r="E148" s="341">
        <f>'2.3.Eq médicos de imagem'!$N15</f>
        <v>717.8207587977239</v>
      </c>
      <c r="F148" s="188">
        <f>'2.3.Eq médicos de imagem'!$N17</f>
        <v>1349.6066229718624</v>
      </c>
    </row>
    <row r="149" spans="2:6" x14ac:dyDescent="0.45">
      <c r="B149" s="195" t="s">
        <v>12</v>
      </c>
      <c r="C149" s="341">
        <f>'3.3. Metroferroviários'!$N14</f>
        <v>255.97681805636773</v>
      </c>
      <c r="D149" s="188">
        <f>'3.3. Metroferroviários'!$N16</f>
        <v>298.5259140170549</v>
      </c>
      <c r="E149" s="341">
        <f>'3.3. Metroferroviários'!$N15</f>
        <v>1239.3134664775801</v>
      </c>
      <c r="F149" s="188">
        <f>'3.3. Metroferroviários'!$N17</f>
        <v>1445.3151974582136</v>
      </c>
    </row>
    <row r="150" spans="2:6" x14ac:dyDescent="0.45">
      <c r="B150" s="195" t="s">
        <v>13</v>
      </c>
      <c r="C150" s="341">
        <f>'4.1. Semicondutores'!$N14</f>
        <v>510.55513401608579</v>
      </c>
      <c r="D150" s="188">
        <f>'4.1. Semicondutores'!$N16</f>
        <v>959.91733565142613</v>
      </c>
      <c r="E150" s="341">
        <f>'4.1. Semicondutores'!$N15</f>
        <v>2561.906673421659</v>
      </c>
      <c r="F150" s="188">
        <f>'4.1. Semicondutores'!$N17</f>
        <v>4816.7542823319172</v>
      </c>
    </row>
    <row r="151" spans="2:6" x14ac:dyDescent="0.45">
      <c r="B151" s="195" t="s">
        <v>14</v>
      </c>
      <c r="C151" s="341">
        <f>'4.2. Robos Industriais'!$N14</f>
        <v>131.84184952135089</v>
      </c>
      <c r="D151" s="188">
        <f>'4.2. Robos Industriais'!$N16</f>
        <v>157.92921859920642</v>
      </c>
      <c r="E151" s="341">
        <f>'4.2. Robos Industriais'!$N15</f>
        <v>401.45859158363828</v>
      </c>
      <c r="F151" s="188">
        <f>'4.2. Robos Industriais'!$N17</f>
        <v>480.89466204336287</v>
      </c>
    </row>
    <row r="152" spans="2:6" x14ac:dyDescent="0.45">
      <c r="B152" s="195" t="s">
        <v>15</v>
      </c>
      <c r="C152" s="341">
        <f>'5.1.Biocombustíveis'!$N14</f>
        <v>768.45189888790094</v>
      </c>
      <c r="D152" s="188">
        <f>'5.1.Biocombustíveis'!$N16</f>
        <v>850.20762941679436</v>
      </c>
      <c r="E152" s="341">
        <f>'5.1.Biocombustíveis'!$N15</f>
        <v>11085.856678892498</v>
      </c>
      <c r="F152" s="188">
        <f>'5.1.Biocombustíveis'!$N17</f>
        <v>12265.282889736805</v>
      </c>
    </row>
    <row r="153" spans="2:6" x14ac:dyDescent="0.45">
      <c r="B153" s="195" t="s">
        <v>951</v>
      </c>
      <c r="C153" s="341">
        <f>'5.2.Descarb Siderurgia'!$N14</f>
        <v>143.2681473124226</v>
      </c>
      <c r="D153" s="188">
        <f>'5.2.Descarb Siderurgia'!$N16</f>
        <v>161.13082748138592</v>
      </c>
      <c r="E153" s="341">
        <f>'5.2.Descarb Siderurgia'!$N$15</f>
        <v>577.81562558807968</v>
      </c>
      <c r="F153" s="188">
        <f>'5.2.Descarb Siderurgia'!$N$17</f>
        <v>649.85770828495276</v>
      </c>
    </row>
    <row r="154" spans="2:6" x14ac:dyDescent="0.45">
      <c r="B154" s="195" t="s">
        <v>979</v>
      </c>
      <c r="C154" s="341">
        <f>'5.2.Descarb Alumínio'!N14</f>
        <v>1216.6565579163566</v>
      </c>
      <c r="D154" s="188">
        <f>'5.2.Descarb Alumínio'!$N$16</f>
        <v>1368.3493617755385</v>
      </c>
      <c r="E154" s="341">
        <f>'5.2.Descarb Alumínio'!$N$15</f>
        <v>4860.389693386961</v>
      </c>
      <c r="F154" s="188">
        <f>'5.2.Descarb Alumínio'!$N$17</f>
        <v>5466.3833369019494</v>
      </c>
    </row>
    <row r="155" spans="2:6" x14ac:dyDescent="0.45">
      <c r="B155" s="367" t="s">
        <v>1008</v>
      </c>
      <c r="C155" s="341">
        <f>'5.3.Descarb Cimento'!N14</f>
        <v>2283.0488531481169</v>
      </c>
      <c r="D155" s="188">
        <f>'5.3.Descarb Cimento'!$N$16</f>
        <v>2567.6995046636425</v>
      </c>
      <c r="E155" s="341">
        <f>'5.3.Descarb Cimento'!$N$15</f>
        <v>6941.6606192843501</v>
      </c>
      <c r="F155" s="188">
        <f>'5.3.Descarb Cimento'!$N$17</f>
        <v>7807.1472316949003</v>
      </c>
    </row>
    <row r="156" spans="2:6" x14ac:dyDescent="0.45">
      <c r="B156" s="195" t="s">
        <v>762</v>
      </c>
      <c r="C156" s="341">
        <f>'5.3.Paineis solares'!$N14</f>
        <v>54.841957112952322</v>
      </c>
      <c r="D156" s="188">
        <f>'5.3.Paineis solares'!$N16</f>
        <v>103.11079420487495</v>
      </c>
      <c r="E156" s="341">
        <f>'5.3.Paineis solares'!$N15</f>
        <v>275.19060440346152</v>
      </c>
      <c r="F156" s="188">
        <f>'5.3.Paineis solares'!$N17</f>
        <v>517.39805199364355</v>
      </c>
    </row>
    <row r="157" spans="2:6" x14ac:dyDescent="0.45">
      <c r="B157" s="195" t="s">
        <v>763</v>
      </c>
      <c r="C157" s="341">
        <f>'5.3.Aerogeradores'!$N14</f>
        <v>418.43058520912405</v>
      </c>
      <c r="D157" s="188">
        <f>'5.3.Aerogeradores'!$N16</f>
        <v>529.38296085911179</v>
      </c>
      <c r="E157" s="341">
        <f>'5.3.Aerogeradores'!$N15</f>
        <v>1560.6219279905499</v>
      </c>
      <c r="F157" s="188">
        <f>'5.3.Aerogeradores'!$N17</f>
        <v>1974.4413678756052</v>
      </c>
    </row>
    <row r="158" spans="2:6" s="241" customFormat="1" x14ac:dyDescent="0.45">
      <c r="B158" s="195" t="s">
        <v>805</v>
      </c>
      <c r="C158" s="370">
        <f>'5.4.Hidrogênio Verde'!$C$22</f>
        <v>3400</v>
      </c>
      <c r="D158" s="371">
        <f>'5.4.Hidrogênio Verde'!$C$23</f>
        <v>4756.6560191786539</v>
      </c>
      <c r="E158" s="370">
        <f>'5.4.Hidrogênio Verde'!$C$20</f>
        <v>4000</v>
      </c>
      <c r="F158" s="188">
        <f>'5.4.Hidrogênio Verde'!$C$21</f>
        <v>5596.065904916064</v>
      </c>
    </row>
    <row r="159" spans="2:6" x14ac:dyDescent="0.45">
      <c r="B159" s="195" t="s">
        <v>764</v>
      </c>
      <c r="C159" s="341">
        <f>'6.1. Satélite'!$N14</f>
        <v>8.1384375055390752</v>
      </c>
      <c r="D159" s="188">
        <f>'6.1. Satélite'!$N16</f>
        <v>9.4912285942890886</v>
      </c>
      <c r="E159" s="341">
        <f>'6.1. Satélite'!$N15</f>
        <v>39.47272395359203</v>
      </c>
      <c r="F159" s="188">
        <f>'6.1. Satélite'!$N17</f>
        <v>46.033977164268556</v>
      </c>
    </row>
    <row r="160" spans="2:6" x14ac:dyDescent="0.45">
      <c r="B160" s="195" t="s">
        <v>16</v>
      </c>
      <c r="C160" s="341">
        <f>'6.2. Radares'!$N14</f>
        <v>60.403258070412996</v>
      </c>
      <c r="D160" s="188">
        <f>'6.2. Radares'!$N16</f>
        <v>113.56684261604063</v>
      </c>
      <c r="E160" s="341">
        <f>'6.2. Radares'!$N15</f>
        <v>179.77985111807283</v>
      </c>
      <c r="F160" s="188">
        <f>'6.2. Radares'!$N17</f>
        <v>338.01206606539256</v>
      </c>
    </row>
    <row r="162" spans="2:8" x14ac:dyDescent="0.45">
      <c r="B162" s="422" t="s">
        <v>303</v>
      </c>
      <c r="C162" s="191">
        <f>SUM(C143:C160)</f>
        <v>30694.644230929913</v>
      </c>
      <c r="D162" s="191">
        <f>SUM(D143:D160)</f>
        <v>41691.554101339876</v>
      </c>
      <c r="E162" s="191">
        <f>SUM(E143:E160)</f>
        <v>114531.24669463467</v>
      </c>
      <c r="F162" s="191">
        <f>SUM(F143:F160)</f>
        <v>145881.13272141232</v>
      </c>
      <c r="G162" s="191"/>
      <c r="H162" s="19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6F-9222-457C-A103-430373A2DC28}">
  <dimension ref="A1:N97"/>
  <sheetViews>
    <sheetView showGridLines="0" zoomScale="80" zoomScaleNormal="80" workbookViewId="0"/>
  </sheetViews>
  <sheetFormatPr defaultRowHeight="14.25" x14ac:dyDescent="0.45"/>
  <cols>
    <col min="1" max="1" width="4.86328125" customWidth="1"/>
    <col min="2" max="2" width="43.33203125" customWidth="1"/>
    <col min="3" max="3" width="16.1328125" customWidth="1"/>
    <col min="4" max="6" width="13.6640625" bestFit="1" customWidth="1"/>
    <col min="7" max="7" width="15.796875" customWidth="1"/>
    <col min="8" max="8" width="19.1328125" customWidth="1"/>
    <col min="9" max="9" width="16.46484375" customWidth="1"/>
    <col min="10" max="10" width="15.33203125" customWidth="1"/>
    <col min="11" max="11" width="27.796875" customWidth="1"/>
    <col min="12" max="12" width="16.53125" customWidth="1"/>
    <col min="13" max="13" width="17.33203125" customWidth="1"/>
    <col min="14" max="14" width="13.19921875" customWidth="1"/>
  </cols>
  <sheetData>
    <row r="1" spans="1:14" s="69" customFormat="1" ht="22.25" customHeight="1" thickBot="1" x14ac:dyDescent="0.6">
      <c r="A1" s="70" t="s">
        <v>247</v>
      </c>
    </row>
    <row r="2" spans="1:14" s="122" customFormat="1" ht="22.25" customHeight="1" x14ac:dyDescent="0.55000000000000004">
      <c r="A2" s="320"/>
    </row>
    <row r="3" spans="1:14" s="122" customFormat="1" ht="13.25" customHeight="1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1034</v>
      </c>
      <c r="C4" s="325"/>
      <c r="D4" s="325"/>
      <c r="E4" s="325"/>
      <c r="H4" s="326" t="s">
        <v>1030</v>
      </c>
      <c r="I4" s="327"/>
      <c r="J4" s="327"/>
    </row>
    <row r="5" spans="1:14" s="122" customFormat="1" ht="15.6" customHeight="1" x14ac:dyDescent="0.45">
      <c r="A5"/>
      <c r="B5" s="242" t="s">
        <v>875</v>
      </c>
      <c r="C5" s="243" t="s">
        <v>39</v>
      </c>
      <c r="D5" s="244">
        <f>C74</f>
        <v>0</v>
      </c>
      <c r="H5" s="315" t="s">
        <v>908</v>
      </c>
      <c r="I5" s="323" t="str">
        <f>Output_Etapa1!B13</f>
        <v xml:space="preserve">Outros transportes </v>
      </c>
      <c r="J5" s="324">
        <f>D5+INDEX(Output_Etapa1!$B$5:$R$14,MATCH(I5,Output_Etapa1!$B$5:$B$14,0),MATCH(H5,Output_Etapa1!$B$5:$R$5,0))</f>
        <v>1.770333430742177E-2</v>
      </c>
    </row>
    <row r="6" spans="1:14" s="122" customFormat="1" ht="15.6" customHeight="1" x14ac:dyDescent="0.45">
      <c r="A6"/>
      <c r="B6" s="21" t="s">
        <v>816</v>
      </c>
      <c r="C6" s="21"/>
      <c r="D6" s="283">
        <f>C75</f>
        <v>10.196595164441447</v>
      </c>
      <c r="H6" s="321" t="s">
        <v>897</v>
      </c>
      <c r="I6" s="321"/>
      <c r="J6" s="284">
        <f>D6*((1+$J$5)^4)</f>
        <v>10.93805156557079</v>
      </c>
    </row>
    <row r="7" spans="1:14" s="122" customFormat="1" ht="15.6" customHeight="1" x14ac:dyDescent="0.45">
      <c r="A7"/>
      <c r="B7" s="21" t="s">
        <v>873</v>
      </c>
      <c r="C7" s="21"/>
      <c r="D7" s="283">
        <f>C76</f>
        <v>19.461585798311084</v>
      </c>
      <c r="H7" s="322" t="s">
        <v>874</v>
      </c>
      <c r="I7" s="322"/>
      <c r="J7" s="284">
        <f>D7*((1+$J$5)^4)</f>
        <v>20.876755973607153</v>
      </c>
    </row>
    <row r="8" spans="1:14" s="122" customFormat="1" ht="15.6" customHeight="1" x14ac:dyDescent="0.45">
      <c r="A8"/>
      <c r="B8"/>
      <c r="C8"/>
      <c r="D8"/>
      <c r="H8" s="322" t="s">
        <v>903</v>
      </c>
      <c r="I8" s="322"/>
      <c r="J8" s="283">
        <f>D6*((1+$J$5)^7)</f>
        <v>11.52931642460246</v>
      </c>
    </row>
    <row r="9" spans="1:14" s="122" customFormat="1" ht="15.6" customHeight="1" x14ac:dyDescent="0.45">
      <c r="A9"/>
      <c r="B9" s="76" t="s">
        <v>832</v>
      </c>
      <c r="C9" s="7" t="s">
        <v>39</v>
      </c>
      <c r="D9" s="172">
        <f>C80</f>
        <v>0</v>
      </c>
      <c r="H9" s="322" t="s">
        <v>904</v>
      </c>
      <c r="I9" s="322"/>
      <c r="J9" s="283">
        <f>D7*((1+$J$5)^7)</f>
        <v>22.005265206149726</v>
      </c>
    </row>
    <row r="10" spans="1:14" s="122" customFormat="1" ht="15.6" customHeight="1" x14ac:dyDescent="0.45">
      <c r="A10"/>
      <c r="B10" s="21" t="s">
        <v>897</v>
      </c>
      <c r="C10" s="21"/>
      <c r="D10" s="283">
        <f>C81</f>
        <v>10.196595164441447</v>
      </c>
    </row>
    <row r="11" spans="1:14" s="122" customFormat="1" ht="15.6" customHeight="1" x14ac:dyDescent="0.45">
      <c r="A11"/>
      <c r="B11" s="21" t="s">
        <v>874</v>
      </c>
      <c r="C11" s="21"/>
      <c r="D11" s="283">
        <f>C82</f>
        <v>19.461585798311084</v>
      </c>
    </row>
    <row r="12" spans="1:14" s="122" customFormat="1" ht="15.6" customHeight="1" x14ac:dyDescent="0.5">
      <c r="A12"/>
      <c r="B12" s="21" t="s">
        <v>903</v>
      </c>
      <c r="C12" s="21"/>
      <c r="D12" s="283">
        <f>D6*((1+$D$9)^7)</f>
        <v>10.196595164441447</v>
      </c>
      <c r="H12" s="326" t="s">
        <v>1031</v>
      </c>
      <c r="I12" s="327"/>
      <c r="J12" s="327"/>
      <c r="L12" s="326" t="s">
        <v>1033</v>
      </c>
      <c r="M12" s="327"/>
      <c r="N12" s="327"/>
    </row>
    <row r="13" spans="1:14" s="122" customFormat="1" ht="15.6" customHeight="1" x14ac:dyDescent="0.45">
      <c r="A13"/>
      <c r="B13" s="21" t="s">
        <v>904</v>
      </c>
      <c r="C13" s="21"/>
      <c r="D13" s="283">
        <f>D7*((1+$D$9)^7)</f>
        <v>19.461585798311084</v>
      </c>
      <c r="H13" s="315" t="s">
        <v>909</v>
      </c>
      <c r="I13" s="323" t="str">
        <f>Output_Etapa1!$B$13</f>
        <v xml:space="preserve">Outros transportes </v>
      </c>
      <c r="J13" s="324">
        <f>D5+INDEX(Output_Etapa1!$B$5:$R$14,MATCH(I13,Output_Etapa1!$B$5:$B$14,0),MATCH(H13,Output_Etapa1!$B$5:$R$5,0))</f>
        <v>0.10751861101708293</v>
      </c>
      <c r="L13" s="315" t="s">
        <v>997</v>
      </c>
      <c r="M13" s="323" t="str">
        <f>Output_Etapa1!$B$13</f>
        <v xml:space="preserve">Outros transportes </v>
      </c>
      <c r="N13" s="324">
        <f>INDEX(Output_Etapa1!$B$5:$R$14,MATCH(M13,Output_Etapa1!$B$5:$B$14,0),MATCH(L13,Output_Etapa1!$B$5:$R$5,0))</f>
        <v>5.2592974082459554E-2</v>
      </c>
    </row>
    <row r="14" spans="1:14" s="122" customFormat="1" ht="15.6" customHeight="1" x14ac:dyDescent="0.45">
      <c r="A14"/>
      <c r="B14"/>
      <c r="C14"/>
      <c r="D14"/>
      <c r="H14" s="321" t="s">
        <v>897</v>
      </c>
      <c r="I14" s="321"/>
      <c r="J14" s="284">
        <f>D6*((1+$J$13)^4)</f>
        <v>15.341199182670275</v>
      </c>
      <c r="L14" s="321" t="s">
        <v>897</v>
      </c>
      <c r="M14" s="321"/>
      <c r="N14" s="284">
        <f>D6*((1+$N$13)^4)</f>
        <v>12.516907539565251</v>
      </c>
    </row>
    <row r="15" spans="1:14" s="122" customFormat="1" ht="15.6" customHeight="1" x14ac:dyDescent="0.45">
      <c r="A15"/>
      <c r="B15" s="168" t="s">
        <v>747</v>
      </c>
      <c r="C15" s="6" t="s">
        <v>39</v>
      </c>
      <c r="D15" s="169">
        <f>C86</f>
        <v>5.9615211794127675E-2</v>
      </c>
      <c r="H15" s="322" t="s">
        <v>874</v>
      </c>
      <c r="I15" s="322"/>
      <c r="J15" s="284">
        <f>D7*((1+$J$13)^4)</f>
        <v>29.280760815502305</v>
      </c>
      <c r="L15" s="322" t="s">
        <v>874</v>
      </c>
      <c r="M15" s="322"/>
      <c r="N15" s="284">
        <f>D7*((1+$N$13)^4)</f>
        <v>23.89021688928845</v>
      </c>
    </row>
    <row r="16" spans="1:14" s="122" customFormat="1" ht="15.6" customHeight="1" x14ac:dyDescent="0.45">
      <c r="A16"/>
      <c r="B16" s="21" t="s">
        <v>897</v>
      </c>
      <c r="C16" s="97"/>
      <c r="D16" s="284">
        <f>C87</f>
        <v>12.854284695146903</v>
      </c>
      <c r="H16" s="322" t="s">
        <v>903</v>
      </c>
      <c r="I16" s="322"/>
      <c r="J16" s="283">
        <f>D6*((1+$J$13)^7)</f>
        <v>20.840705061504863</v>
      </c>
      <c r="L16" s="322" t="s">
        <v>903</v>
      </c>
      <c r="M16" s="322"/>
      <c r="N16" s="283">
        <f>D6*((1+$N$13)^7)</f>
        <v>14.597498680887792</v>
      </c>
    </row>
    <row r="17" spans="1:14" s="122" customFormat="1" ht="15.6" customHeight="1" x14ac:dyDescent="0.45">
      <c r="A17"/>
      <c r="B17" s="21" t="s">
        <v>874</v>
      </c>
      <c r="C17" s="21"/>
      <c r="D17" s="283">
        <f>C88</f>
        <v>24.534146981035128</v>
      </c>
      <c r="H17" s="322" t="s">
        <v>904</v>
      </c>
      <c r="I17" s="322"/>
      <c r="J17" s="283">
        <f>D7*((1+$J$13)^7)</f>
        <v>39.77731420250916</v>
      </c>
      <c r="L17" s="322" t="s">
        <v>904</v>
      </c>
      <c r="M17" s="322"/>
      <c r="N17" s="283">
        <f>D7*((1+$N$13)^7)</f>
        <v>27.861307469530459</v>
      </c>
    </row>
    <row r="18" spans="1:14" s="122" customFormat="1" ht="15.6" customHeight="1" x14ac:dyDescent="0.45">
      <c r="A18"/>
      <c r="B18" s="21" t="s">
        <v>903</v>
      </c>
      <c r="C18" s="21"/>
      <c r="D18" s="283">
        <f>D6*((1+$D$15)^7)</f>
        <v>15.292992218093705</v>
      </c>
    </row>
    <row r="19" spans="1:14" s="122" customFormat="1" ht="15.6" customHeight="1" x14ac:dyDescent="0.45">
      <c r="A19"/>
      <c r="B19" s="21" t="s">
        <v>904</v>
      </c>
      <c r="C19" s="21"/>
      <c r="D19" s="283">
        <f>D7*((1+$D$15)^7)</f>
        <v>29.188751280745567</v>
      </c>
    </row>
    <row r="20" spans="1:14" s="122" customFormat="1" ht="15.6" customHeight="1" x14ac:dyDescent="0.5">
      <c r="A20"/>
      <c r="B20"/>
      <c r="C20"/>
      <c r="D20"/>
      <c r="H20" s="326" t="s">
        <v>1031</v>
      </c>
      <c r="I20" s="327"/>
      <c r="J20" s="327"/>
    </row>
    <row r="21" spans="1:14" s="122" customFormat="1" ht="15.6" customHeight="1" x14ac:dyDescent="0.45">
      <c r="A21"/>
      <c r="B21" s="89" t="s">
        <v>185</v>
      </c>
      <c r="C21" s="5" t="s">
        <v>39</v>
      </c>
      <c r="D21" s="88">
        <f>C94</f>
        <v>0.16</v>
      </c>
      <c r="H21" s="315" t="s">
        <v>910</v>
      </c>
      <c r="I21" s="323" t="str">
        <f>Output_Etapa1!$B$13</f>
        <v xml:space="preserve">Outros transportes </v>
      </c>
      <c r="J21" s="324">
        <f>D5+INDEX(Output_Etapa1!$B$5:$R$14,MATCH(I21,Output_Etapa1!$B$5:$B$14,0),MATCH(H21,Output_Etapa1!$B$5:$R$5,0))</f>
        <v>-6.5055707598306034E-3</v>
      </c>
    </row>
    <row r="22" spans="1:14" s="122" customFormat="1" ht="15.6" customHeight="1" x14ac:dyDescent="0.45">
      <c r="A22"/>
      <c r="B22" s="21" t="s">
        <v>897</v>
      </c>
      <c r="C22" s="97"/>
      <c r="D22" s="284">
        <f>C95</f>
        <v>18.462356542723356</v>
      </c>
      <c r="H22" s="321" t="s">
        <v>897</v>
      </c>
      <c r="I22" s="321"/>
      <c r="J22" s="284">
        <f>D6*((1+$J$21)^4)</f>
        <v>9.9338345369053638</v>
      </c>
    </row>
    <row r="23" spans="1:14" s="122" customFormat="1" ht="15.6" customHeight="1" x14ac:dyDescent="0.45">
      <c r="A23"/>
      <c r="B23" s="21" t="s">
        <v>874</v>
      </c>
      <c r="C23" s="21"/>
      <c r="D23" s="283">
        <f>C96</f>
        <v>35.237913254439064</v>
      </c>
      <c r="H23" s="322" t="s">
        <v>874</v>
      </c>
      <c r="I23" s="322"/>
      <c r="J23" s="284">
        <f>D7*((1+$J$21)^4)</f>
        <v>18.960071477624442</v>
      </c>
    </row>
    <row r="24" spans="1:14" s="122" customFormat="1" ht="15.6" customHeight="1" x14ac:dyDescent="0.45">
      <c r="A24"/>
      <c r="B24" s="21" t="s">
        <v>903</v>
      </c>
      <c r="C24" s="21"/>
      <c r="D24" s="283">
        <f>D6*((1+$D$21)^7)</f>
        <v>28.817818478110709</v>
      </c>
      <c r="H24" s="322" t="s">
        <v>903</v>
      </c>
      <c r="I24" s="322"/>
      <c r="J24" s="283">
        <f>D6*((1+$J$21)^7)</f>
        <v>9.7412172839906042</v>
      </c>
    </row>
    <row r="25" spans="1:14" s="122" customFormat="1" ht="15.6" customHeight="1" x14ac:dyDescent="0.45">
      <c r="A25"/>
      <c r="B25" s="21" t="s">
        <v>904</v>
      </c>
      <c r="C25" s="21"/>
      <c r="D25" s="283">
        <f>D7*((1+$D$21)^7)</f>
        <v>55.002717847200913</v>
      </c>
      <c r="H25" s="322" t="s">
        <v>904</v>
      </c>
      <c r="I25" s="322"/>
      <c r="J25" s="283">
        <f>D7*((1+$J$21)^7)</f>
        <v>18.592435307571503</v>
      </c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  <c r="D31" t="s">
        <v>900</v>
      </c>
      <c r="E31" s="18">
        <f>Aux!A9</f>
        <v>1.0785319545600001</v>
      </c>
    </row>
    <row r="32" spans="1:14" ht="18.600000000000001" customHeight="1" x14ac:dyDescent="0.45">
      <c r="A32" s="24"/>
      <c r="B32" s="117" t="s">
        <v>775</v>
      </c>
      <c r="C32" s="115">
        <f>'Proporção drones'!I6</f>
        <v>6.0949719749532477E-3</v>
      </c>
      <c r="F32" s="86"/>
      <c r="G32" s="13"/>
    </row>
    <row r="33" spans="1:13" ht="31.25" customHeight="1" x14ac:dyDescent="0.45">
      <c r="A33" s="24"/>
      <c r="B33" s="117" t="s">
        <v>871</v>
      </c>
      <c r="C33" s="161">
        <f>'Cenario B benchmark va'!C12</f>
        <v>5.9615211794127675E-2</v>
      </c>
      <c r="E33" s="13"/>
      <c r="F33" s="13"/>
    </row>
    <row r="34" spans="1:13" ht="29.45" customHeight="1" x14ac:dyDescent="0.45">
      <c r="A34" s="24"/>
      <c r="B34" s="117" t="s">
        <v>872</v>
      </c>
      <c r="C34" s="161">
        <f>'Cenario B benchmark va'!D12</f>
        <v>0.13164590161622911</v>
      </c>
      <c r="E34" s="13"/>
      <c r="F34" s="13"/>
    </row>
    <row r="35" spans="1:13" ht="15" customHeight="1" x14ac:dyDescent="0.45">
      <c r="A35" s="24"/>
      <c r="B35" s="117" t="s">
        <v>294</v>
      </c>
      <c r="C35" s="115">
        <v>0.16</v>
      </c>
      <c r="F35" s="86"/>
      <c r="G35" s="13"/>
    </row>
    <row r="36" spans="1:13" x14ac:dyDescent="0.45">
      <c r="A36" s="24"/>
      <c r="B36" s="116" t="s">
        <v>745</v>
      </c>
      <c r="C36" s="164" t="str">
        <f>IF(D57&lt;3%,"produto disruptivo", "produto representativo")</f>
        <v>produto disruptivo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4"/>
      <c r="K48" s="24"/>
      <c r="L48" s="24"/>
    </row>
    <row r="49" spans="1:13" x14ac:dyDescent="0.45">
      <c r="A49" s="24"/>
      <c r="B49" s="106" t="s">
        <v>255</v>
      </c>
      <c r="C49" s="118">
        <v>11518346</v>
      </c>
      <c r="D49" s="114">
        <v>11772218</v>
      </c>
      <c r="E49" s="114">
        <v>10065293</v>
      </c>
      <c r="F49" s="114">
        <v>11810640</v>
      </c>
      <c r="G49" s="114">
        <v>7201477</v>
      </c>
      <c r="H49" s="114">
        <v>10982864</v>
      </c>
      <c r="I49" s="24"/>
      <c r="K49" s="24"/>
      <c r="L49" s="24"/>
    </row>
    <row r="50" spans="1:13" x14ac:dyDescent="0.45">
      <c r="A50" s="24"/>
      <c r="B50" s="106" t="s">
        <v>260</v>
      </c>
      <c r="C50" s="118">
        <f>E50</f>
        <v>3191397</v>
      </c>
      <c r="D50" s="114"/>
      <c r="E50" s="114">
        <v>3191397</v>
      </c>
      <c r="F50" s="114">
        <v>5107609</v>
      </c>
      <c r="G50" s="114">
        <v>1104004</v>
      </c>
      <c r="H50" s="114">
        <v>3464949</v>
      </c>
      <c r="I50" s="24"/>
      <c r="K50" s="24"/>
      <c r="L50" s="24"/>
    </row>
    <row r="51" spans="1:13" x14ac:dyDescent="0.45">
      <c r="A51" s="24"/>
      <c r="B51" s="109" t="s">
        <v>293</v>
      </c>
      <c r="C51" s="113">
        <f>C50*$C$32</f>
        <v>19451.47527594987</v>
      </c>
      <c r="D51" s="113">
        <f t="shared" ref="D51:H51" si="0">D50*$C$32</f>
        <v>0</v>
      </c>
      <c r="E51" s="113">
        <f t="shared" si="0"/>
        <v>19451.47527594987</v>
      </c>
      <c r="F51" s="113">
        <f t="shared" si="0"/>
        <v>31130.733714018981</v>
      </c>
      <c r="G51" s="113">
        <f t="shared" si="0"/>
        <v>6728.8734402362852</v>
      </c>
      <c r="H51" s="113">
        <f t="shared" si="0"/>
        <v>21118.76704964228</v>
      </c>
      <c r="I51" s="24"/>
      <c r="K51" s="24"/>
      <c r="L51" s="24"/>
    </row>
    <row r="52" spans="1:13" x14ac:dyDescent="0.45">
      <c r="A52" s="24"/>
      <c r="B52" s="2"/>
      <c r="C52" s="130"/>
      <c r="D52" s="78"/>
      <c r="E52" s="78"/>
      <c r="F52" s="78"/>
      <c r="G52" s="78"/>
      <c r="H52" s="130"/>
      <c r="I52" s="14"/>
      <c r="J52" s="14"/>
    </row>
    <row r="53" spans="1:13" x14ac:dyDescent="0.45">
      <c r="A53" s="24"/>
      <c r="B53" s="75" t="s">
        <v>184</v>
      </c>
      <c r="C53" s="109"/>
      <c r="D53" s="109"/>
      <c r="E53" s="109"/>
      <c r="F53" s="109"/>
      <c r="G53" s="78"/>
      <c r="H53" s="14"/>
      <c r="I53" s="14"/>
      <c r="J53" s="14"/>
    </row>
    <row r="54" spans="1:13" x14ac:dyDescent="0.45">
      <c r="A54" s="24"/>
      <c r="B54" s="170" t="s">
        <v>44</v>
      </c>
      <c r="C54" s="171" t="s">
        <v>43</v>
      </c>
      <c r="D54" s="171" t="s">
        <v>902</v>
      </c>
      <c r="E54" s="171" t="s">
        <v>48</v>
      </c>
      <c r="F54" s="171" t="s">
        <v>39</v>
      </c>
      <c r="G54" s="75"/>
      <c r="I54" s="14"/>
      <c r="J54" s="14"/>
    </row>
    <row r="55" spans="1:13" x14ac:dyDescent="0.45">
      <c r="A55" s="24"/>
      <c r="B55" s="22" t="s">
        <v>268</v>
      </c>
      <c r="C55" s="84">
        <f>C49*$C$31*$C$30/1000</f>
        <v>3772.7318669997685</v>
      </c>
      <c r="D55" s="84">
        <f>F49*$E$31*$C$30/1000</f>
        <v>3649.7784631281238</v>
      </c>
      <c r="E55" s="94">
        <f>D55-C55</f>
        <v>-122.9534038716447</v>
      </c>
      <c r="F55" s="95">
        <f>IF(((D55/C55)^(1/5)-1)&lt;0,0,((D55/C55)^(1/5)-1))</f>
        <v>0</v>
      </c>
      <c r="G55" s="90"/>
      <c r="H55" s="14"/>
      <c r="I55" s="14"/>
      <c r="J55" s="14"/>
    </row>
    <row r="56" spans="1:13" x14ac:dyDescent="0.45">
      <c r="A56" s="24"/>
      <c r="B56" s="22" t="s">
        <v>295</v>
      </c>
      <c r="C56" s="84">
        <f>C51*$C$31*$C$30/1000</f>
        <v>6.3711578584055557</v>
      </c>
      <c r="D56" s="84">
        <f>F51*$C$31*$C$30/1000</f>
        <v>10.196595164441447</v>
      </c>
      <c r="E56" s="94">
        <f>D56-C56</f>
        <v>3.8254373060358917</v>
      </c>
      <c r="F56" s="96">
        <f>(D56/C56)^(1/5)-1</f>
        <v>9.8619649086599148E-2</v>
      </c>
      <c r="G56" s="24"/>
      <c r="H56" s="14"/>
      <c r="I56" s="14"/>
      <c r="J56" s="14"/>
      <c r="M56" s="14"/>
    </row>
    <row r="57" spans="1:13" x14ac:dyDescent="0.45">
      <c r="A57" s="24"/>
      <c r="B57" t="s">
        <v>231</v>
      </c>
      <c r="C57" s="131">
        <f>C56/C55</f>
        <v>1.688738580691175E-3</v>
      </c>
      <c r="D57" s="131">
        <f>D56/D55</f>
        <v>2.7937572834769342E-3</v>
      </c>
      <c r="E57" s="14"/>
      <c r="F57" s="14"/>
      <c r="G57" s="14"/>
      <c r="H57" s="14"/>
      <c r="I57" s="14"/>
      <c r="J57" s="14"/>
      <c r="M57" s="14"/>
    </row>
    <row r="58" spans="1:13" x14ac:dyDescent="0.45">
      <c r="A58" s="24"/>
      <c r="C58" s="14"/>
      <c r="D58" s="14"/>
      <c r="E58" s="14"/>
      <c r="F58" s="14"/>
      <c r="G58" s="14"/>
      <c r="H58" s="14"/>
      <c r="I58" s="14"/>
      <c r="J58" s="14"/>
      <c r="M58" s="14"/>
    </row>
    <row r="59" spans="1:13" x14ac:dyDescent="0.45">
      <c r="A59" s="24" t="s">
        <v>50</v>
      </c>
      <c r="B59" s="74" t="s">
        <v>786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45">
      <c r="A60" s="24"/>
      <c r="B60" s="75" t="s">
        <v>783</v>
      </c>
      <c r="C60" s="127"/>
      <c r="D60" s="127"/>
      <c r="E60" s="127"/>
      <c r="F60" s="127"/>
      <c r="G60" s="127"/>
      <c r="H60" s="127"/>
      <c r="I60" s="124"/>
      <c r="J60" s="24"/>
      <c r="K60" s="24"/>
    </row>
    <row r="61" spans="1:13" x14ac:dyDescent="0.45">
      <c r="A61" s="24"/>
      <c r="B61" s="20" t="s">
        <v>44</v>
      </c>
      <c r="C61" s="25">
        <v>2016</v>
      </c>
      <c r="D61" s="25">
        <v>2017</v>
      </c>
      <c r="E61" s="25">
        <v>2018</v>
      </c>
      <c r="F61" s="25">
        <v>2019</v>
      </c>
      <c r="G61" s="25">
        <v>2020</v>
      </c>
      <c r="H61" s="25">
        <v>2021</v>
      </c>
      <c r="J61" s="183" t="s">
        <v>782</v>
      </c>
      <c r="K61" s="24"/>
    </row>
    <row r="62" spans="1:13" x14ac:dyDescent="0.45">
      <c r="A62" s="24"/>
      <c r="B62" s="106" t="s">
        <v>255</v>
      </c>
      <c r="C62" s="250">
        <f>VLOOKUP($B62,'Dados IBGE - VPB'!$A$4:$G$423,2,FALSE)</f>
        <v>44978379</v>
      </c>
      <c r="D62" s="250">
        <f>VLOOKUP($B62,'Dados IBGE - VPB'!$A$4:$G$423,3,FALSE)</f>
        <v>39659061</v>
      </c>
      <c r="E62" s="250">
        <f>VLOOKUP($B62,'Dados IBGE - VPB'!$A$4:$G$423,4,FALSE)</f>
        <v>39577934</v>
      </c>
      <c r="F62" s="250">
        <f>VLOOKUP($B62,'Dados IBGE - VPB'!$A$4:$G$423,5,FALSE)</f>
        <v>40893860</v>
      </c>
      <c r="G62" s="250">
        <f>VLOOKUP($B62,'Dados IBGE - VPB'!$A$4:$G$423,6,FALSE)</f>
        <v>39942471</v>
      </c>
      <c r="H62" s="250">
        <f>VLOOKUP($B62,'Dados IBGE - VPB'!$A$4:$G$423,7,FALSE)</f>
        <v>48283439</v>
      </c>
      <c r="J62" s="11">
        <f>H62*$C$29/1000</f>
        <v>9173.8534099999997</v>
      </c>
      <c r="K62" s="24"/>
    </row>
    <row r="63" spans="1:13" x14ac:dyDescent="0.45">
      <c r="A63" s="24"/>
      <c r="B63" s="106" t="s">
        <v>260</v>
      </c>
      <c r="C63" s="250" t="str">
        <f>VLOOKUP($B63,'Dados IBGE - VPB'!$A$4:$G$423,2,FALSE)</f>
        <v>X</v>
      </c>
      <c r="D63" s="250" t="str">
        <f>VLOOKUP($B63,'Dados IBGE - VPB'!$A$4:$G$423,3,FALSE)</f>
        <v>X</v>
      </c>
      <c r="E63" s="250">
        <f>VLOOKUP($B63,'Dados IBGE - VPB'!$A$4:$G$423,4,FALSE)</f>
        <v>15801196</v>
      </c>
      <c r="F63" s="250">
        <f>VLOOKUP($B63,'Dados IBGE - VPB'!$A$4:$G$423,5,FALSE)</f>
        <v>16542413</v>
      </c>
      <c r="G63" s="250">
        <f>VLOOKUP($B63,'Dados IBGE - VPB'!$A$4:$G$423,6,FALSE)</f>
        <v>16536147</v>
      </c>
      <c r="H63" s="78">
        <f>VLOOKUP($B63,'Dados IBGE - VPB'!$A$4:$G$423,7,FALSE)</f>
        <v>16805557</v>
      </c>
      <c r="J63" s="11">
        <f>H63*$C$29/1000</f>
        <v>3193.0558300000002</v>
      </c>
      <c r="K63" s="24"/>
    </row>
    <row r="64" spans="1:13" x14ac:dyDescent="0.45">
      <c r="A64" s="24"/>
      <c r="B64" s="109" t="s">
        <v>293</v>
      </c>
      <c r="C64" s="78"/>
      <c r="D64" s="78"/>
      <c r="E64" s="78"/>
      <c r="F64" s="78"/>
      <c r="G64" s="78"/>
      <c r="H64" s="233">
        <f>C32*H63</f>
        <v>102429.39893847938</v>
      </c>
      <c r="J64" s="187">
        <f>H64*$C$29/1000</f>
        <v>19.461585798311084</v>
      </c>
      <c r="K64" s="24"/>
    </row>
    <row r="65" spans="1:13" x14ac:dyDescent="0.45">
      <c r="A65" s="24"/>
      <c r="B65" s="2"/>
      <c r="C65" s="78"/>
      <c r="D65" s="78"/>
      <c r="E65" s="78"/>
      <c r="F65" s="78"/>
      <c r="G65" s="78"/>
      <c r="H65" s="78"/>
      <c r="J65" s="182"/>
      <c r="K65" s="24"/>
    </row>
    <row r="66" spans="1:13" x14ac:dyDescent="0.45">
      <c r="A66" s="24" t="s">
        <v>784</v>
      </c>
      <c r="B66" s="21" t="s">
        <v>877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3" x14ac:dyDescent="0.45">
      <c r="B67" s="73" t="s">
        <v>229</v>
      </c>
    </row>
    <row r="68" spans="1:13" x14ac:dyDescent="0.45">
      <c r="B68" s="73"/>
    </row>
    <row r="69" spans="1:13" x14ac:dyDescent="0.45">
      <c r="B69" t="s">
        <v>878</v>
      </c>
      <c r="C69">
        <f>2026-2021</f>
        <v>5</v>
      </c>
    </row>
    <row r="70" spans="1:13" x14ac:dyDescent="0.45">
      <c r="B70" t="s">
        <v>879</v>
      </c>
      <c r="C70">
        <f>2030-2026</f>
        <v>4</v>
      </c>
    </row>
    <row r="71" spans="1:13" x14ac:dyDescent="0.45">
      <c r="B71" s="73"/>
    </row>
    <row r="72" spans="1:13" x14ac:dyDescent="0.45">
      <c r="B72" s="1" t="s">
        <v>876</v>
      </c>
    </row>
    <row r="73" spans="1:13" x14ac:dyDescent="0.45">
      <c r="B73" s="270" t="s">
        <v>852</v>
      </c>
      <c r="C73" s="271"/>
      <c r="D73" s="271"/>
      <c r="E73" s="271"/>
    </row>
    <row r="74" spans="1:13" x14ac:dyDescent="0.45">
      <c r="B74" s="23" t="s">
        <v>862</v>
      </c>
      <c r="C74" s="85">
        <f>F55</f>
        <v>0</v>
      </c>
      <c r="D74" s="85"/>
    </row>
    <row r="75" spans="1:13" x14ac:dyDescent="0.45">
      <c r="B75" s="23" t="s">
        <v>863</v>
      </c>
      <c r="C75" s="282">
        <f>D56*((1+C74)^C69)</f>
        <v>10.196595164441447</v>
      </c>
      <c r="D75" s="98"/>
      <c r="E75" s="98"/>
    </row>
    <row r="76" spans="1:13" x14ac:dyDescent="0.45">
      <c r="B76" s="23" t="s">
        <v>864</v>
      </c>
      <c r="C76" s="178">
        <f>J64*((1+C74)^C69)</f>
        <v>19.461585798311084</v>
      </c>
      <c r="D76" s="85"/>
    </row>
    <row r="77" spans="1:13" x14ac:dyDescent="0.45">
      <c r="B77" s="23"/>
      <c r="C77" s="178"/>
      <c r="D77" s="85"/>
    </row>
    <row r="78" spans="1:13" x14ac:dyDescent="0.45">
      <c r="B78" s="1" t="s">
        <v>859</v>
      </c>
    </row>
    <row r="79" spans="1:13" x14ac:dyDescent="0.45">
      <c r="B79" s="270" t="s">
        <v>852</v>
      </c>
      <c r="C79" s="271"/>
      <c r="D79" s="271"/>
      <c r="E79" s="271"/>
    </row>
    <row r="80" spans="1:13" x14ac:dyDescent="0.45">
      <c r="B80" s="23" t="s">
        <v>862</v>
      </c>
      <c r="C80" s="85">
        <f>F55</f>
        <v>0</v>
      </c>
      <c r="D80" s="85"/>
    </row>
    <row r="81" spans="2:5" x14ac:dyDescent="0.45">
      <c r="B81" s="23" t="s">
        <v>880</v>
      </c>
      <c r="C81" s="282">
        <f>C75*((1+C80)^C70)</f>
        <v>10.196595164441447</v>
      </c>
      <c r="D81" s="98"/>
      <c r="E81" s="98"/>
    </row>
    <row r="82" spans="2:5" x14ac:dyDescent="0.45">
      <c r="B82" s="23" t="s">
        <v>881</v>
      </c>
      <c r="C82" s="178">
        <f>C76*((1+C80)^C70)</f>
        <v>19.461585798311084</v>
      </c>
      <c r="D82" s="85"/>
    </row>
    <row r="83" spans="2:5" x14ac:dyDescent="0.45">
      <c r="B83" s="23"/>
      <c r="C83" s="178"/>
      <c r="D83" s="85"/>
    </row>
    <row r="84" spans="2:5" x14ac:dyDescent="0.45">
      <c r="B84" s="1" t="s">
        <v>860</v>
      </c>
    </row>
    <row r="85" spans="2:5" x14ac:dyDescent="0.45">
      <c r="B85" s="270" t="s">
        <v>865</v>
      </c>
      <c r="C85" s="271"/>
      <c r="D85" s="271"/>
      <c r="E85" s="271"/>
    </row>
    <row r="86" spans="2:5" x14ac:dyDescent="0.45">
      <c r="B86" s="23" t="s">
        <v>866</v>
      </c>
      <c r="C86" s="144">
        <f>C74+C33</f>
        <v>5.9615211794127675E-2</v>
      </c>
      <c r="D86" s="85"/>
    </row>
    <row r="87" spans="2:5" ht="17" customHeight="1" x14ac:dyDescent="0.45">
      <c r="B87" s="23" t="s">
        <v>880</v>
      </c>
      <c r="C87" s="282">
        <f>C75*((1+C86)^C70)</f>
        <v>12.854284695146903</v>
      </c>
      <c r="D87" s="98"/>
      <c r="E87" s="98"/>
    </row>
    <row r="88" spans="2:5" ht="17" customHeight="1" x14ac:dyDescent="0.45">
      <c r="B88" s="23" t="s">
        <v>881</v>
      </c>
      <c r="C88" s="178">
        <f>C76*((1+C86)^C70)</f>
        <v>24.534146981035128</v>
      </c>
      <c r="D88" s="85"/>
    </row>
    <row r="89" spans="2:5" ht="17" customHeight="1" x14ac:dyDescent="0.45"/>
    <row r="90" spans="2:5" ht="17" customHeight="1" x14ac:dyDescent="0.45">
      <c r="B90" s="274" t="s">
        <v>849</v>
      </c>
      <c r="C90" s="274" t="str">
        <f>C36</f>
        <v>produto disruptivo</v>
      </c>
    </row>
    <row r="91" spans="2:5" ht="17" customHeight="1" x14ac:dyDescent="0.45"/>
    <row r="92" spans="2:5" x14ac:dyDescent="0.45">
      <c r="B92" s="1" t="s">
        <v>861</v>
      </c>
    </row>
    <row r="93" spans="2:5" x14ac:dyDescent="0.45">
      <c r="B93" s="270" t="s">
        <v>882</v>
      </c>
      <c r="C93" s="271"/>
      <c r="D93" s="271"/>
      <c r="E93" s="271"/>
    </row>
    <row r="94" spans="2:5" ht="17" customHeight="1" x14ac:dyDescent="0.45">
      <c r="B94" s="23" t="s">
        <v>867</v>
      </c>
      <c r="C94" s="144">
        <f>IF(AND((C90="produto disruptivo"),(C35&gt;(C74+C34))),C35,(C74+C34))</f>
        <v>0.16</v>
      </c>
      <c r="D94" s="85"/>
    </row>
    <row r="95" spans="2:5" ht="17" customHeight="1" x14ac:dyDescent="0.45">
      <c r="B95" s="23" t="s">
        <v>880</v>
      </c>
      <c r="C95" s="282">
        <f>C75*((1+C94)^C70)</f>
        <v>18.462356542723356</v>
      </c>
      <c r="D95" s="85"/>
    </row>
    <row r="96" spans="2:5" ht="17" customHeight="1" x14ac:dyDescent="0.45">
      <c r="B96" s="23" t="s">
        <v>881</v>
      </c>
      <c r="C96" s="178">
        <f>C76*((1+C94)^C70)</f>
        <v>35.237913254439064</v>
      </c>
      <c r="D96" s="85"/>
    </row>
    <row r="97" spans="2:4" ht="17" customHeight="1" x14ac:dyDescent="0.45">
      <c r="B97" s="23"/>
      <c r="C97" s="178"/>
      <c r="D97" s="8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A9F9-A119-4C1C-968F-D6DEE62A619D}">
  <dimension ref="A1:N99"/>
  <sheetViews>
    <sheetView showGridLines="0" zoomScale="85" zoomScaleNormal="85" workbookViewId="0"/>
  </sheetViews>
  <sheetFormatPr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7" width="14.46484375" customWidth="1"/>
    <col min="8" max="8" width="14.6640625" customWidth="1"/>
    <col min="9" max="9" width="13.6640625" bestFit="1" customWidth="1"/>
    <col min="10" max="10" width="21.53125" customWidth="1"/>
    <col min="11" max="11" width="16.53125" customWidth="1"/>
    <col min="12" max="12" width="15.1328125" customWidth="1"/>
    <col min="13" max="13" width="16.1328125" customWidth="1"/>
    <col min="14" max="14" width="11.796875" customWidth="1"/>
    <col min="15" max="15" width="18.33203125" customWidth="1"/>
  </cols>
  <sheetData>
    <row r="1" spans="1:14" s="69" customFormat="1" ht="22.25" customHeight="1" thickBot="1" x14ac:dyDescent="0.6">
      <c r="A1" s="70" t="s">
        <v>128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C76</f>
        <v>3.6535627664732617E-2</v>
      </c>
      <c r="F5" s="122"/>
      <c r="G5" s="122"/>
      <c r="H5" s="315" t="s">
        <v>908</v>
      </c>
      <c r="I5" s="323" t="str">
        <f>Output_Etapa1!$B$10</f>
        <v>Maquinário</v>
      </c>
      <c r="J5" s="324">
        <f>E5+INDEX(Output_Etapa1!$B$5:$R$14,MATCH(I5,Output_Etapa1!$B$5:$B$14,0),MATCH(H5,Output_Etapa1!$B$5:$R$5,0))</f>
        <v>5.6700425289359924E-2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C77</f>
        <v>3924.4553687135062</v>
      </c>
      <c r="F6" s="122"/>
      <c r="G6" s="122"/>
      <c r="H6" s="321" t="s">
        <v>897</v>
      </c>
      <c r="I6" s="321"/>
      <c r="J6" s="284">
        <f>E6*((1+$J$5)^4)</f>
        <v>4893.1319046903936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C78</f>
        <v>16502.931799466736</v>
      </c>
      <c r="F7" s="122"/>
      <c r="G7" s="122"/>
      <c r="H7" s="322" t="s">
        <v>874</v>
      </c>
      <c r="I7" s="322"/>
      <c r="J7" s="284">
        <f>E7*((1+$J$5)^4)</f>
        <v>20576.363984837903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5773.5451961277467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C82</f>
        <v>3.6535627664732617E-2</v>
      </c>
      <c r="F9" s="122"/>
      <c r="G9" s="122"/>
      <c r="H9" s="322" t="s">
        <v>904</v>
      </c>
      <c r="I9" s="322"/>
      <c r="J9" s="283">
        <f>E7*((1+$J$5)^7)</f>
        <v>24278.63580063323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C83</f>
        <v>4530.1891040571045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C84</f>
        <v>19050.134298622332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5045.091344069855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21215.376542951548</v>
      </c>
      <c r="F13" s="122"/>
      <c r="G13" s="122"/>
      <c r="H13" s="315" t="s">
        <v>909</v>
      </c>
      <c r="I13" s="323" t="str">
        <f>Output_Etapa1!$B$10</f>
        <v>Maquinário</v>
      </c>
      <c r="J13" s="324">
        <f>E5+INDEX(Output_Etapa1!$B$5:$R$14,MATCH(I13,Output_Etapa1!$B$5:$B$14,0),MATCH(H13,Output_Etapa1!$B$5:$R$5,0))</f>
        <v>0.19919122526655997</v>
      </c>
      <c r="K13" s="122"/>
      <c r="L13" s="315" t="s">
        <v>997</v>
      </c>
      <c r="M13" s="323" t="str">
        <f>Output_Etapa1!$B$10</f>
        <v>Maquinário</v>
      </c>
      <c r="N13" s="324">
        <f>INDEX(Output_Etapa1!$B$5:$R$14,MATCH(M13,Output_Etapa1!$B$5:$B$14,0),MATCH(L13,Output_Etapa1!$B$5:$R$5,0))</f>
        <v>6.202905885973542E-2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8115.8341315407251</v>
      </c>
      <c r="K14" s="122"/>
      <c r="L14" s="321" t="s">
        <v>897</v>
      </c>
      <c r="M14" s="321"/>
      <c r="N14" s="284">
        <f>E6*((1+$N$13)^4)</f>
        <v>4992.579556533623</v>
      </c>
    </row>
    <row r="15" spans="1:14" x14ac:dyDescent="0.45">
      <c r="B15" s="168" t="s">
        <v>747</v>
      </c>
      <c r="C15" s="168"/>
      <c r="D15" s="6" t="s">
        <v>39</v>
      </c>
      <c r="E15" s="169">
        <f>C88</f>
        <v>3.9471856437214618E-2</v>
      </c>
      <c r="F15" s="122"/>
      <c r="G15" s="122"/>
      <c r="H15" s="322" t="s">
        <v>874</v>
      </c>
      <c r="I15" s="322"/>
      <c r="J15" s="284">
        <f>E7*((1+$J$13)^4)</f>
        <v>34128.317074607679</v>
      </c>
      <c r="K15" s="122"/>
      <c r="L15" s="322" t="s">
        <v>874</v>
      </c>
      <c r="M15" s="322"/>
      <c r="N15" s="284">
        <f>E7*((1+$N$13)^4)</f>
        <v>20994.556488457561</v>
      </c>
    </row>
    <row r="16" spans="1:14" x14ac:dyDescent="0.45">
      <c r="B16" s="21" t="s">
        <v>232</v>
      </c>
      <c r="C16" s="21"/>
      <c r="D16" s="21"/>
      <c r="E16" s="284">
        <f>C89</f>
        <v>4581.7388942494717</v>
      </c>
      <c r="F16" s="122"/>
      <c r="G16" s="122"/>
      <c r="H16" s="322" t="s">
        <v>903</v>
      </c>
      <c r="I16" s="322"/>
      <c r="J16" s="283">
        <f>E6*((1+$J$13)^7)</f>
        <v>13995.824517881356</v>
      </c>
      <c r="K16" s="122"/>
      <c r="L16" s="322" t="s">
        <v>903</v>
      </c>
      <c r="M16" s="322"/>
      <c r="N16" s="283">
        <f>E6*((1+$N$13)^7)</f>
        <v>5980.4545447463515</v>
      </c>
    </row>
    <row r="17" spans="1:14" x14ac:dyDescent="0.45">
      <c r="B17" s="21" t="s">
        <v>874</v>
      </c>
      <c r="C17" s="21"/>
      <c r="D17" s="21"/>
      <c r="E17" s="283">
        <f>C90</f>
        <v>19266.909007949787</v>
      </c>
      <c r="F17" s="122"/>
      <c r="G17" s="122"/>
      <c r="H17" s="322" t="s">
        <v>904</v>
      </c>
      <c r="I17" s="322"/>
      <c r="J17" s="283">
        <f>E7*((1+$J$13)^7)</f>
        <v>58854.571092145321</v>
      </c>
      <c r="K17" s="122"/>
      <c r="L17" s="322" t="s">
        <v>904</v>
      </c>
      <c r="M17" s="322"/>
      <c r="N17" s="283">
        <f>E7*((1+$N$13)^7)</f>
        <v>25148.721085879901</v>
      </c>
    </row>
    <row r="18" spans="1:14" x14ac:dyDescent="0.45">
      <c r="B18" s="21" t="s">
        <v>903</v>
      </c>
      <c r="C18" s="21"/>
      <c r="D18" s="21"/>
      <c r="E18" s="283">
        <f>$E$6*((1+$E$15)^7)</f>
        <v>5145.9853076146364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21639.651007283966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C96</f>
        <v>4.9808576857111764E-2</v>
      </c>
      <c r="F21" s="122"/>
      <c r="G21" s="122"/>
      <c r="H21" s="315" t="s">
        <v>910</v>
      </c>
      <c r="I21" s="323" t="str">
        <f>Output_Etapa1!$B$10</f>
        <v>Maquinário</v>
      </c>
      <c r="J21" s="324">
        <f>E5+INDEX(Output_Etapa1!$B$5:$R$14,MATCH(I21,Output_Etapa1!$B$5:$B$14,0),MATCH(H21,Output_Etapa1!$B$5:$R$5,0))</f>
        <v>3.518704430529862E-2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21"/>
      <c r="E22" s="284">
        <f>C97</f>
        <v>4766.7224018243733</v>
      </c>
      <c r="F22" s="122"/>
      <c r="G22" s="122"/>
      <c r="H22" s="321" t="s">
        <v>897</v>
      </c>
      <c r="I22" s="321"/>
      <c r="J22" s="284">
        <f>E6*((1+$J$21)^4)</f>
        <v>4506.659087346753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3">
        <f>C98</f>
        <v>20044.792796327663</v>
      </c>
      <c r="F23" s="122"/>
      <c r="G23" s="122"/>
      <c r="H23" s="322" t="s">
        <v>874</v>
      </c>
      <c r="I23" s="322"/>
      <c r="J23" s="284">
        <f>E7*((1+$J$21)^4)</f>
        <v>18951.186999053847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5515.0596058741703</v>
      </c>
      <c r="F24" s="122"/>
      <c r="G24" s="122"/>
      <c r="H24" s="322" t="s">
        <v>903</v>
      </c>
      <c r="I24" s="322"/>
      <c r="J24" s="283">
        <f>E6*((1+$J$21)^7)</f>
        <v>4999.3229272713379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23191.664573719248</v>
      </c>
      <c r="F25" s="122"/>
      <c r="G25" s="122"/>
      <c r="H25" s="322" t="s">
        <v>904</v>
      </c>
      <c r="I25" s="322"/>
      <c r="J25" s="283">
        <f>E7*((1+$J$21)^7)</f>
        <v>21022.913388186942</v>
      </c>
      <c r="K25" s="122"/>
      <c r="L25" s="122"/>
      <c r="M25" s="122"/>
      <c r="N25" s="122"/>
    </row>
    <row r="29" spans="1:14" x14ac:dyDescent="0.45">
      <c r="A29" s="24" t="s">
        <v>51</v>
      </c>
      <c r="B29" s="21" t="s">
        <v>52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x14ac:dyDescent="0.45">
      <c r="A30" s="24"/>
      <c r="B30" s="116" t="s">
        <v>206</v>
      </c>
      <c r="C30" s="18">
        <f>Aux!A3</f>
        <v>1.3622653753834655</v>
      </c>
    </row>
    <row r="31" spans="1:14" x14ac:dyDescent="0.45">
      <c r="A31" s="24"/>
      <c r="B31" s="116" t="s">
        <v>203</v>
      </c>
      <c r="C31" s="18">
        <v>0.19</v>
      </c>
    </row>
    <row r="32" spans="1:14" x14ac:dyDescent="0.45">
      <c r="A32" s="24"/>
      <c r="B32" s="116" t="s">
        <v>204</v>
      </c>
      <c r="C32" s="18">
        <f>Aux!C24</f>
        <v>0.28652337314416421</v>
      </c>
    </row>
    <row r="33" spans="1:12" x14ac:dyDescent="0.45">
      <c r="A33" s="24"/>
      <c r="B33" s="116" t="s">
        <v>205</v>
      </c>
      <c r="C33" s="18">
        <f>Aux!A6</f>
        <v>1.1431566969667646</v>
      </c>
    </row>
    <row r="34" spans="1:12" ht="32" customHeight="1" x14ac:dyDescent="0.45">
      <c r="A34" s="24"/>
      <c r="B34" s="117" t="s">
        <v>887</v>
      </c>
      <c r="C34" s="161">
        <f>'Cenario B benchmark va'!C9</f>
        <v>2.936228772482001E-3</v>
      </c>
      <c r="E34" s="13"/>
      <c r="F34" s="13"/>
    </row>
    <row r="35" spans="1:12" ht="30" customHeight="1" x14ac:dyDescent="0.45">
      <c r="A35" s="24"/>
      <c r="B35" s="117" t="s">
        <v>888</v>
      </c>
      <c r="C35" s="161">
        <f>'Cenario B benchmark va'!D9</f>
        <v>1.327294919237915E-2</v>
      </c>
    </row>
    <row r="36" spans="1:12" x14ac:dyDescent="0.45">
      <c r="A36" s="24"/>
      <c r="B36" s="116" t="s">
        <v>756</v>
      </c>
      <c r="C36" s="119">
        <v>6.9000000000000006E-2</v>
      </c>
      <c r="D36" s="166" t="s">
        <v>757</v>
      </c>
    </row>
    <row r="37" spans="1:12" x14ac:dyDescent="0.45">
      <c r="A37" s="24"/>
      <c r="B37" s="116" t="s">
        <v>745</v>
      </c>
      <c r="C37" s="164" t="str">
        <f>IF(D57&lt;3%,"produto disruptivo", "produto representativo")</f>
        <v>produto representativo</v>
      </c>
    </row>
    <row r="38" spans="1:12" x14ac:dyDescent="0.45">
      <c r="A38" s="24"/>
    </row>
    <row r="39" spans="1:12" x14ac:dyDescent="0.45">
      <c r="A39" s="24"/>
      <c r="B39" s="76" t="s">
        <v>832</v>
      </c>
      <c r="C39" s="7" t="s">
        <v>750</v>
      </c>
      <c r="D39" s="7"/>
      <c r="E39" s="7"/>
      <c r="F39" s="7"/>
      <c r="G39" s="7"/>
    </row>
    <row r="40" spans="1:12" x14ac:dyDescent="0.45">
      <c r="A40" s="24"/>
    </row>
    <row r="41" spans="1:12" x14ac:dyDescent="0.45">
      <c r="A41" s="24"/>
      <c r="B41" s="167" t="s">
        <v>747</v>
      </c>
      <c r="C41" s="6" t="s">
        <v>748</v>
      </c>
      <c r="D41" s="6"/>
      <c r="E41" s="6"/>
      <c r="F41" s="6"/>
      <c r="G41" s="6"/>
    </row>
    <row r="42" spans="1:12" ht="14" customHeight="1" x14ac:dyDescent="0.45">
      <c r="A42" s="24"/>
      <c r="B42" s="23"/>
      <c r="C42" s="23"/>
      <c r="D42" s="23"/>
      <c r="E42" s="23"/>
      <c r="F42" s="23"/>
      <c r="G42" s="23"/>
    </row>
    <row r="43" spans="1:12" x14ac:dyDescent="0.45">
      <c r="A43" s="24"/>
      <c r="B43" s="89" t="s">
        <v>185</v>
      </c>
      <c r="C43" s="5" t="s">
        <v>749</v>
      </c>
      <c r="D43" s="5"/>
      <c r="E43" s="5"/>
      <c r="F43" s="5"/>
      <c r="G43" s="5"/>
    </row>
    <row r="44" spans="1:12" ht="14" customHeight="1" x14ac:dyDescent="0.45">
      <c r="A44" s="24"/>
      <c r="B44" s="23"/>
      <c r="C44" s="165"/>
      <c r="D44" s="23"/>
      <c r="E44" s="23"/>
      <c r="F44" s="23"/>
      <c r="G44" s="23"/>
    </row>
    <row r="45" spans="1:12" ht="14" customHeight="1" x14ac:dyDescent="0.45">
      <c r="A45" s="24"/>
      <c r="B45" s="166" t="s">
        <v>746</v>
      </c>
      <c r="C45" s="165"/>
      <c r="D45" s="23"/>
      <c r="E45" s="23"/>
      <c r="F45" s="23"/>
      <c r="G45" s="23"/>
    </row>
    <row r="46" spans="1:12" x14ac:dyDescent="0.45">
      <c r="A46" s="24"/>
    </row>
    <row r="47" spans="1:12" x14ac:dyDescent="0.45">
      <c r="A47" s="24" t="s">
        <v>49</v>
      </c>
      <c r="B47" s="74" t="s">
        <v>785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x14ac:dyDescent="0.45">
      <c r="A48" s="24"/>
      <c r="B48" s="75" t="s">
        <v>783</v>
      </c>
      <c r="C48" s="24"/>
      <c r="D48" s="24"/>
      <c r="E48" s="24"/>
      <c r="F48" s="24"/>
      <c r="G48" s="24"/>
      <c r="H48" s="24"/>
      <c r="I48" s="24"/>
      <c r="J48" s="24"/>
      <c r="K48" s="24"/>
    </row>
    <row r="49" spans="1:12" x14ac:dyDescent="0.45">
      <c r="A49" s="24"/>
      <c r="B49" s="20" t="s">
        <v>44</v>
      </c>
      <c r="C49" s="25">
        <v>2016</v>
      </c>
      <c r="D49" s="25">
        <v>2017</v>
      </c>
      <c r="E49" s="25">
        <v>2018</v>
      </c>
      <c r="F49" s="25">
        <v>2019</v>
      </c>
      <c r="G49" s="25">
        <v>2020</v>
      </c>
      <c r="H49" s="25">
        <v>2021</v>
      </c>
      <c r="I49" s="24"/>
      <c r="J49" s="24"/>
      <c r="K49" s="24"/>
    </row>
    <row r="50" spans="1:12" x14ac:dyDescent="0.45">
      <c r="A50" s="24"/>
      <c r="B50" s="80" t="s">
        <v>42</v>
      </c>
      <c r="C50" s="81">
        <v>29994634</v>
      </c>
      <c r="D50" s="81">
        <v>29787040</v>
      </c>
      <c r="E50" s="81">
        <v>32861173</v>
      </c>
      <c r="F50" s="81">
        <v>36523489</v>
      </c>
      <c r="G50" s="81">
        <v>41275128</v>
      </c>
      <c r="H50" s="81">
        <v>61869550</v>
      </c>
      <c r="I50" s="24"/>
      <c r="J50" s="24"/>
      <c r="K50" s="24"/>
    </row>
    <row r="51" spans="1:12" x14ac:dyDescent="0.45">
      <c r="A51" s="24"/>
      <c r="B51" s="3" t="s">
        <v>45</v>
      </c>
      <c r="C51" s="79">
        <v>625434</v>
      </c>
      <c r="D51" s="79">
        <v>1902638</v>
      </c>
      <c r="E51" s="79">
        <v>539084</v>
      </c>
      <c r="F51" s="79">
        <v>-28020</v>
      </c>
      <c r="G51" s="79">
        <v>304618</v>
      </c>
      <c r="H51" s="79">
        <v>4057844</v>
      </c>
      <c r="I51" s="24"/>
      <c r="J51" s="24"/>
      <c r="K51" s="24"/>
    </row>
    <row r="52" spans="1:12" x14ac:dyDescent="0.45">
      <c r="A52" s="24"/>
      <c r="B52" s="3" t="s">
        <v>47</v>
      </c>
      <c r="C52" s="79">
        <v>4454812</v>
      </c>
      <c r="D52" s="79">
        <v>4867304</v>
      </c>
      <c r="E52" s="79">
        <v>6704983</v>
      </c>
      <c r="F52" s="79">
        <v>6431539</v>
      </c>
      <c r="G52" s="79">
        <v>7636270</v>
      </c>
      <c r="H52" s="79">
        <v>13204693</v>
      </c>
      <c r="I52" s="24"/>
      <c r="J52" s="24"/>
      <c r="K52" s="24"/>
    </row>
    <row r="53" spans="1:12" x14ac:dyDescent="0.45">
      <c r="A53" s="24"/>
      <c r="B53" s="2"/>
      <c r="C53" s="78"/>
      <c r="D53" s="78"/>
      <c r="E53" s="78"/>
      <c r="F53" s="78"/>
      <c r="G53" s="78"/>
      <c r="H53" s="78"/>
      <c r="I53" s="11"/>
      <c r="J53" s="24"/>
      <c r="K53" s="24"/>
    </row>
    <row r="54" spans="1:12" x14ac:dyDescent="0.45">
      <c r="A54" s="24"/>
      <c r="B54" s="75" t="s">
        <v>184</v>
      </c>
      <c r="C54" s="109"/>
      <c r="D54" s="109"/>
      <c r="E54" s="109"/>
      <c r="F54" s="109"/>
      <c r="G54" s="78"/>
      <c r="H54" s="78"/>
      <c r="I54" s="11"/>
      <c r="J54" s="24"/>
      <c r="K54" s="24"/>
    </row>
    <row r="55" spans="1:12" x14ac:dyDescent="0.45">
      <c r="A55" s="24"/>
      <c r="B55" s="170" t="s">
        <v>44</v>
      </c>
      <c r="C55" s="171" t="s">
        <v>43</v>
      </c>
      <c r="D55" s="171">
        <v>2021</v>
      </c>
      <c r="E55" s="171" t="s">
        <v>48</v>
      </c>
      <c r="F55" s="171" t="s">
        <v>39</v>
      </c>
      <c r="G55" s="78"/>
      <c r="H55" s="78"/>
      <c r="I55" s="11"/>
      <c r="J55" s="24"/>
      <c r="K55" s="24"/>
    </row>
    <row r="56" spans="1:12" x14ac:dyDescent="0.45">
      <c r="A56" s="24"/>
      <c r="B56" s="102" t="s">
        <v>244</v>
      </c>
      <c r="C56" s="84">
        <f>C50*$C$33*$C$32/1000</f>
        <v>9824.4757998062178</v>
      </c>
      <c r="D56" s="84">
        <f>H50*$C$31/1000</f>
        <v>11755.2145</v>
      </c>
      <c r="E56" s="94">
        <f>D56-C56</f>
        <v>1930.7387001937823</v>
      </c>
      <c r="F56" s="160">
        <f>(D56/C56)^(1/5)-1</f>
        <v>3.6535627664732617E-2</v>
      </c>
      <c r="G56" s="130"/>
      <c r="H56" s="78"/>
      <c r="I56" s="11"/>
      <c r="J56" s="24"/>
      <c r="K56" s="24"/>
    </row>
    <row r="57" spans="1:12" x14ac:dyDescent="0.45">
      <c r="A57" s="24"/>
      <c r="B57" t="s">
        <v>207</v>
      </c>
      <c r="C57" s="84" cm="1">
        <f t="array" ref="C57">SUM(C51:C52*$C$33*$C$32/1000)</f>
        <v>1663.9894283778337</v>
      </c>
      <c r="D57" s="84">
        <f>(SUM(H51:H52)*$C$31/1000)</f>
        <v>3279.8820300000002</v>
      </c>
      <c r="E57" s="94">
        <f>D57-C57</f>
        <v>1615.8926016221665</v>
      </c>
      <c r="F57" s="96">
        <f>(D57/C57)^(1/5)-1</f>
        <v>0.14535873453725068</v>
      </c>
      <c r="G57" s="130"/>
      <c r="H57" s="78"/>
      <c r="I57" s="11"/>
      <c r="J57" s="24"/>
      <c r="K57" s="24"/>
    </row>
    <row r="58" spans="1:12" x14ac:dyDescent="0.45">
      <c r="A58" s="24"/>
      <c r="B58" t="s">
        <v>751</v>
      </c>
      <c r="C58" s="14">
        <f>C57/C56</f>
        <v>0.16937182830768996</v>
      </c>
      <c r="D58" s="14">
        <f>D57/D56</f>
        <v>0.27901507284277971</v>
      </c>
      <c r="E58" s="14"/>
      <c r="F58" s="14"/>
      <c r="G58" s="78"/>
      <c r="H58" s="78"/>
      <c r="I58" s="11"/>
      <c r="J58" s="24"/>
      <c r="K58" s="24"/>
    </row>
    <row r="59" spans="1:12" x14ac:dyDescent="0.45">
      <c r="A59" s="24"/>
      <c r="B59" s="2"/>
      <c r="C59" s="78"/>
      <c r="D59" s="78"/>
      <c r="E59" s="78"/>
      <c r="F59" s="78"/>
      <c r="G59" s="78"/>
      <c r="H59" s="78"/>
      <c r="I59" s="11"/>
      <c r="J59" s="24"/>
      <c r="K59" s="24"/>
    </row>
    <row r="60" spans="1:12" x14ac:dyDescent="0.45">
      <c r="A60" s="24"/>
      <c r="B60" s="2"/>
      <c r="C60" s="78"/>
      <c r="D60" s="78"/>
      <c r="E60" s="78"/>
      <c r="F60" s="78"/>
      <c r="G60" s="78"/>
      <c r="H60" s="78"/>
      <c r="I60" s="11"/>
      <c r="J60" s="24"/>
      <c r="K60" s="24"/>
    </row>
    <row r="61" spans="1:12" x14ac:dyDescent="0.45">
      <c r="A61" s="24" t="s">
        <v>50</v>
      </c>
      <c r="B61" s="74" t="s">
        <v>786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12" x14ac:dyDescent="0.45">
      <c r="A62" s="24"/>
      <c r="B62" s="75" t="s">
        <v>783</v>
      </c>
      <c r="C62" s="127"/>
      <c r="D62" s="127"/>
      <c r="E62" s="127"/>
      <c r="F62" s="127"/>
      <c r="G62" s="127"/>
      <c r="H62" s="127"/>
      <c r="I62" s="124"/>
      <c r="J62" s="24"/>
      <c r="K62" s="24"/>
    </row>
    <row r="63" spans="1:12" x14ac:dyDescent="0.45">
      <c r="A63" s="24"/>
      <c r="B63" s="20" t="s">
        <v>44</v>
      </c>
      <c r="C63" s="25">
        <v>2016</v>
      </c>
      <c r="D63" s="25">
        <v>2017</v>
      </c>
      <c r="E63" s="25">
        <v>2018</v>
      </c>
      <c r="F63" s="25">
        <v>2019</v>
      </c>
      <c r="G63" s="25">
        <v>2020</v>
      </c>
      <c r="H63" s="25">
        <v>2021</v>
      </c>
      <c r="J63" s="183" t="s">
        <v>782</v>
      </c>
      <c r="K63" s="24"/>
    </row>
    <row r="64" spans="1:12" x14ac:dyDescent="0.45">
      <c r="A64" s="24"/>
      <c r="B64" s="80" t="s">
        <v>42</v>
      </c>
      <c r="C64" s="81">
        <f>VLOOKUP($B64,'Dados IBGE - VPB'!$A$4:$G$423,2,FALSE)</f>
        <v>92965874</v>
      </c>
      <c r="D64" s="81">
        <f>VLOOKUP($B64,'Dados IBGE - VPB'!$A$4:$G$423,3,FALSE)</f>
        <v>98051641</v>
      </c>
      <c r="E64" s="81">
        <f>VLOOKUP($B64,'Dados IBGE - VPB'!$A$4:$G$423,4,FALSE)</f>
        <v>115083057</v>
      </c>
      <c r="F64" s="81">
        <f>VLOOKUP($B64,'Dados IBGE - VPB'!$A$4:$G$423,5,FALSE)</f>
        <v>127931097</v>
      </c>
      <c r="G64" s="81">
        <f>VLOOKUP($B64,'Dados IBGE - VPB'!$A$4:$G$423,6,FALSE)</f>
        <v>141967323</v>
      </c>
      <c r="H64" s="81">
        <f>VLOOKUP($B64,'Dados IBGE - VPB'!$A$4:$G$423,7,FALSE)</f>
        <v>225244197</v>
      </c>
      <c r="K64" s="24"/>
    </row>
    <row r="65" spans="1:13" x14ac:dyDescent="0.45">
      <c r="A65" s="24"/>
      <c r="B65" s="3" t="s">
        <v>45</v>
      </c>
      <c r="C65" s="81">
        <f>VLOOKUP($B65,'Dados IBGE - VPB'!$A$4:$G$423,2,FALSE)</f>
        <v>4054979</v>
      </c>
      <c r="D65" s="81">
        <f>VLOOKUP($B65,'Dados IBGE - VPB'!$A$4:$G$423,3,FALSE)</f>
        <v>10851809</v>
      </c>
      <c r="E65" s="81">
        <f>VLOOKUP($B65,'Dados IBGE - VPB'!$A$4:$G$423,4,FALSE)</f>
        <v>4529285</v>
      </c>
      <c r="F65" s="81">
        <f>VLOOKUP($B65,'Dados IBGE - VPB'!$A$4:$G$423,5,FALSE)</f>
        <v>4062920</v>
      </c>
      <c r="G65" s="81">
        <f>VLOOKUP($B65,'Dados IBGE - VPB'!$A$4:$G$423,6,FALSE)</f>
        <v>4614047</v>
      </c>
      <c r="H65" s="81">
        <f>VLOOKUP($B65,'Dados IBGE - VPB'!$A$4:$G$423,7,FALSE)</f>
        <v>26240401</v>
      </c>
      <c r="J65" s="11">
        <f>H65*$C$31/1000</f>
        <v>4985.6761900000001</v>
      </c>
      <c r="K65" s="24"/>
    </row>
    <row r="66" spans="1:13" x14ac:dyDescent="0.45">
      <c r="A66" s="24"/>
      <c r="B66" s="3" t="s">
        <v>47</v>
      </c>
      <c r="C66" s="81">
        <f>VLOOKUP($B66,'Dados IBGE - VPB'!$A$4:$G$423,2,FALSE)</f>
        <v>18665612</v>
      </c>
      <c r="D66" s="81">
        <f>VLOOKUP($B66,'Dados IBGE - VPB'!$A$4:$G$423,3,FALSE)</f>
        <v>16354584</v>
      </c>
      <c r="E66" s="81">
        <f>VLOOKUP($B66,'Dados IBGE - VPB'!$A$4:$G$423,4,FALSE)</f>
        <v>28124100</v>
      </c>
      <c r="F66" s="81">
        <f>VLOOKUP($B66,'Dados IBGE - VPB'!$A$4:$G$423,5,FALSE)</f>
        <v>29643467</v>
      </c>
      <c r="G66" s="81">
        <f>VLOOKUP($B66,'Dados IBGE - VPB'!$A$4:$G$423,6,FALSE)</f>
        <v>32555104</v>
      </c>
      <c r="H66" s="81">
        <f>VLOOKUP($B66,'Dados IBGE - VPB'!$A$4:$G$423,7,FALSE)</f>
        <v>46351193</v>
      </c>
      <c r="J66" s="11">
        <f>H66*$C$31/1000</f>
        <v>8806.72667</v>
      </c>
      <c r="K66" s="24"/>
    </row>
    <row r="67" spans="1:13" x14ac:dyDescent="0.45">
      <c r="A67" s="24"/>
      <c r="B67" s="2"/>
      <c r="C67" s="78"/>
      <c r="D67" s="78"/>
      <c r="E67" s="78"/>
      <c r="F67" s="78"/>
      <c r="G67" s="78"/>
      <c r="H67" s="78"/>
      <c r="J67" s="182">
        <f>SUM(J65:J66)</f>
        <v>13792.40286</v>
      </c>
      <c r="K67" s="24"/>
    </row>
    <row r="68" spans="1:13" x14ac:dyDescent="0.45">
      <c r="A68" s="24" t="s">
        <v>784</v>
      </c>
      <c r="B68" s="21" t="s">
        <v>877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 spans="1:13" x14ac:dyDescent="0.45">
      <c r="B69" s="73" t="s">
        <v>229</v>
      </c>
    </row>
    <row r="70" spans="1:13" x14ac:dyDescent="0.45">
      <c r="B70" s="73"/>
    </row>
    <row r="71" spans="1:13" x14ac:dyDescent="0.45">
      <c r="B71" t="s">
        <v>817</v>
      </c>
      <c r="C71">
        <f>2026-2021</f>
        <v>5</v>
      </c>
    </row>
    <row r="72" spans="1:13" x14ac:dyDescent="0.45">
      <c r="B72" t="s">
        <v>818</v>
      </c>
      <c r="C72">
        <f>2030-2026</f>
        <v>4</v>
      </c>
    </row>
    <row r="73" spans="1:13" x14ac:dyDescent="0.45">
      <c r="B73" s="73"/>
    </row>
    <row r="74" spans="1:13" x14ac:dyDescent="0.45">
      <c r="B74" s="1" t="s">
        <v>876</v>
      </c>
    </row>
    <row r="75" spans="1:13" x14ac:dyDescent="0.45">
      <c r="B75" s="270" t="s">
        <v>852</v>
      </c>
      <c r="C75" s="271"/>
      <c r="D75" s="271"/>
      <c r="E75" s="271"/>
    </row>
    <row r="76" spans="1:13" x14ac:dyDescent="0.45">
      <c r="B76" s="23" t="s">
        <v>862</v>
      </c>
      <c r="C76" s="85">
        <f>F56</f>
        <v>3.6535627664732617E-2</v>
      </c>
      <c r="D76" s="85"/>
    </row>
    <row r="77" spans="1:13" x14ac:dyDescent="0.45">
      <c r="B77" s="23" t="s">
        <v>863</v>
      </c>
      <c r="C77" s="87">
        <f>D57*((1+C76)^C71)</f>
        <v>3924.4553687135062</v>
      </c>
      <c r="D77" s="98"/>
      <c r="E77" s="98"/>
    </row>
    <row r="78" spans="1:13" x14ac:dyDescent="0.45">
      <c r="B78" s="23" t="s">
        <v>864</v>
      </c>
      <c r="C78" s="178">
        <f>J67*((1+C76)^C71)</f>
        <v>16502.931799466736</v>
      </c>
      <c r="D78" s="85"/>
    </row>
    <row r="79" spans="1:13" x14ac:dyDescent="0.45">
      <c r="B79" s="23"/>
      <c r="C79" s="178"/>
      <c r="D79" s="85"/>
    </row>
    <row r="80" spans="1:13" x14ac:dyDescent="0.45">
      <c r="B80" s="1" t="s">
        <v>859</v>
      </c>
    </row>
    <row r="81" spans="2:5" x14ac:dyDescent="0.45">
      <c r="B81" s="270" t="s">
        <v>852</v>
      </c>
      <c r="C81" s="271"/>
      <c r="D81" s="271"/>
      <c r="E81" s="271"/>
    </row>
    <row r="82" spans="2:5" x14ac:dyDescent="0.45">
      <c r="B82" s="23" t="s">
        <v>862</v>
      </c>
      <c r="C82" s="85">
        <f>F56</f>
        <v>3.6535627664732617E-2</v>
      </c>
      <c r="D82" s="85"/>
    </row>
    <row r="83" spans="2:5" x14ac:dyDescent="0.45">
      <c r="B83" s="23" t="s">
        <v>880</v>
      </c>
      <c r="C83" s="87">
        <f>C77*((1+C82)^C72)</f>
        <v>4530.1891040571045</v>
      </c>
      <c r="D83" s="98"/>
      <c r="E83" s="98"/>
    </row>
    <row r="84" spans="2:5" x14ac:dyDescent="0.45">
      <c r="B84" s="23" t="s">
        <v>881</v>
      </c>
      <c r="C84" s="178">
        <f>C78*((1+C82)^C72)</f>
        <v>19050.134298622332</v>
      </c>
      <c r="D84" s="85"/>
    </row>
    <row r="85" spans="2:5" x14ac:dyDescent="0.45">
      <c r="B85" s="23"/>
      <c r="C85" s="178"/>
      <c r="D85" s="85"/>
    </row>
    <row r="86" spans="2:5" x14ac:dyDescent="0.45">
      <c r="B86" s="1" t="s">
        <v>860</v>
      </c>
    </row>
    <row r="87" spans="2:5" x14ac:dyDescent="0.45">
      <c r="B87" s="270" t="s">
        <v>865</v>
      </c>
      <c r="C87" s="271"/>
      <c r="D87" s="271"/>
      <c r="E87" s="271"/>
    </row>
    <row r="88" spans="2:5" x14ac:dyDescent="0.45">
      <c r="B88" s="23" t="s">
        <v>866</v>
      </c>
      <c r="C88" s="144">
        <f>C76+C34</f>
        <v>3.9471856437214618E-2</v>
      </c>
      <c r="D88" s="85"/>
    </row>
    <row r="89" spans="2:5" ht="17" customHeight="1" x14ac:dyDescent="0.45">
      <c r="B89" s="23" t="s">
        <v>880</v>
      </c>
      <c r="C89" s="248">
        <f>C77*((1+C88)^C72)</f>
        <v>4581.7388942494717</v>
      </c>
      <c r="D89" s="98"/>
      <c r="E89" s="98"/>
    </row>
    <row r="90" spans="2:5" ht="17" customHeight="1" x14ac:dyDescent="0.45">
      <c r="B90" s="23" t="s">
        <v>881</v>
      </c>
      <c r="C90" s="178">
        <f>C78*((1+C88)^C72)</f>
        <v>19266.909007949787</v>
      </c>
      <c r="D90" s="85"/>
    </row>
    <row r="91" spans="2:5" ht="17" customHeight="1" x14ac:dyDescent="0.45"/>
    <row r="92" spans="2:5" ht="17" customHeight="1" x14ac:dyDescent="0.45">
      <c r="B92" s="274" t="s">
        <v>849</v>
      </c>
      <c r="C92" s="274" t="str">
        <f>C37</f>
        <v>produto representativo</v>
      </c>
    </row>
    <row r="93" spans="2:5" ht="17" customHeight="1" x14ac:dyDescent="0.45"/>
    <row r="94" spans="2:5" x14ac:dyDescent="0.45">
      <c r="B94" s="1" t="s">
        <v>861</v>
      </c>
    </row>
    <row r="95" spans="2:5" x14ac:dyDescent="0.45">
      <c r="B95" s="270" t="s">
        <v>882</v>
      </c>
      <c r="C95" s="271"/>
      <c r="D95" s="271"/>
      <c r="E95" s="271"/>
    </row>
    <row r="96" spans="2:5" ht="17" customHeight="1" x14ac:dyDescent="0.45">
      <c r="B96" s="23" t="s">
        <v>867</v>
      </c>
      <c r="C96" s="144">
        <f>IF(AND((C92="produto disruptivo"),(C37&gt;(C76+C35))),C37,(C76+C35))</f>
        <v>4.9808576857111764E-2</v>
      </c>
      <c r="D96" s="85"/>
    </row>
    <row r="97" spans="2:4" ht="17" customHeight="1" x14ac:dyDescent="0.45">
      <c r="B97" s="23" t="s">
        <v>880</v>
      </c>
      <c r="C97" s="248">
        <f>C77*((1+C96)^C72)</f>
        <v>4766.7224018243733</v>
      </c>
      <c r="D97" s="85"/>
    </row>
    <row r="98" spans="2:4" ht="17" customHeight="1" x14ac:dyDescent="0.45">
      <c r="B98" s="23" t="s">
        <v>881</v>
      </c>
      <c r="C98" s="178">
        <f>C78*((1+C96)^C72)</f>
        <v>20044.792796327663</v>
      </c>
      <c r="D98" s="85"/>
    </row>
    <row r="99" spans="2:4" ht="17" customHeight="1" x14ac:dyDescent="0.45">
      <c r="B99" s="23"/>
      <c r="C99" s="178"/>
      <c r="D99" s="85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506F-08D8-4EFE-BFCE-053916FEC4B6}">
  <dimension ref="A1:N95"/>
  <sheetViews>
    <sheetView showGridLines="0" zoomScale="85" zoomScaleNormal="85" workbookViewId="0"/>
  </sheetViews>
  <sheetFormatPr defaultRowHeight="14.25" x14ac:dyDescent="0.45"/>
  <cols>
    <col min="1" max="1" width="4.86328125" customWidth="1"/>
    <col min="2" max="2" width="43.33203125" customWidth="1"/>
    <col min="3" max="3" width="16.33203125" customWidth="1"/>
    <col min="4" max="6" width="13.6640625" bestFit="1" customWidth="1"/>
    <col min="7" max="7" width="16.33203125" customWidth="1"/>
    <col min="8" max="8" width="14.6640625" customWidth="1"/>
    <col min="9" max="9" width="15.1328125" customWidth="1"/>
    <col min="10" max="11" width="16.53125" customWidth="1"/>
    <col min="12" max="12" width="15.1328125" customWidth="1"/>
    <col min="13" max="13" width="13.1328125" customWidth="1"/>
    <col min="14" max="14" width="13.33203125" customWidth="1"/>
  </cols>
  <sheetData>
    <row r="1" spans="1:14" s="69" customFormat="1" ht="22.25" customHeight="1" thickBot="1" x14ac:dyDescent="0.6">
      <c r="A1" s="70" t="s">
        <v>190</v>
      </c>
      <c r="F1" s="288"/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C73</f>
        <v>3.9943384765899204E-2</v>
      </c>
      <c r="F5" s="122"/>
      <c r="G5" s="122"/>
      <c r="H5" s="315" t="s">
        <v>908</v>
      </c>
      <c r="I5" s="323" t="str">
        <f>Output_Etapa1!$B$7</f>
        <v>Químicos</v>
      </c>
      <c r="J5" s="324">
        <f>E5+INDEX(Output_Etapa1!$B$5:$R$14,MATCH(I5,Output_Etapa1!$B$5:$B$14,0),MATCH(H5,Output_Etapa1!$B$5:$R$5,0))</f>
        <v>5.6750123298053401E-2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C74</f>
        <v>3808.0820111807234</v>
      </c>
      <c r="F6" s="122"/>
      <c r="G6" s="122"/>
      <c r="H6" s="321" t="s">
        <v>897</v>
      </c>
      <c r="I6" s="321"/>
      <c r="J6" s="284">
        <f>E6*((1+$J$5)^4)</f>
        <v>4748.9273040299104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C75</f>
        <v>27658.743470248464</v>
      </c>
      <c r="F7" s="122"/>
      <c r="G7" s="122"/>
      <c r="H7" s="322" t="s">
        <v>874</v>
      </c>
      <c r="I7" s="322"/>
      <c r="J7" s="284">
        <f>E7*((1+$J$5)^4)</f>
        <v>34492.26189860762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5604.1847375704237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C79</f>
        <v>3.9943384765899204E-2</v>
      </c>
      <c r="F9" s="122"/>
      <c r="G9" s="122"/>
      <c r="H9" s="322" t="s">
        <v>904</v>
      </c>
      <c r="I9" s="322"/>
      <c r="J9" s="283">
        <f>E7*((1+$J$5)^7)</f>
        <v>40704.14123467938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C80</f>
        <v>4453.9473549093909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C81</f>
        <v>32349.772656612087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5009.2668690776973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36383.152174518502</v>
      </c>
      <c r="F13" s="122"/>
      <c r="G13" s="122"/>
      <c r="H13" s="315" t="s">
        <v>909</v>
      </c>
      <c r="I13" s="323" t="str">
        <f>Output_Etapa1!$B$7</f>
        <v>Químicos</v>
      </c>
      <c r="J13" s="324">
        <f>E5+INDEX(Output_Etapa1!$B$5:$R$14,MATCH(I13,Output_Etapa1!$B$5:$B$14,0),MATCH(H13,Output_Etapa1!$B$5:$R$5,0))</f>
        <v>0.13811215755644701</v>
      </c>
      <c r="K13" s="122"/>
      <c r="L13" s="315" t="s">
        <v>997</v>
      </c>
      <c r="M13" s="323" t="str">
        <f>Output_Etapa1!$B$7</f>
        <v>Químicos</v>
      </c>
      <c r="N13" s="324">
        <f>INDEX(Output_Etapa1!$B$5:$R$14,MATCH(M13,Output_Etapa1!$B$5:$B$14,0),MATCH(L13,Output_Etapa1!$B$5:$R$5,0))</f>
        <v>3.4275180972928698E-2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6389.2008856455504</v>
      </c>
      <c r="K14" s="122"/>
      <c r="L14" s="321" t="s">
        <v>897</v>
      </c>
      <c r="M14" s="321"/>
      <c r="N14" s="284">
        <f>E6*((1+$N$13)^4)</f>
        <v>4357.6335482129043</v>
      </c>
    </row>
    <row r="15" spans="1:14" x14ac:dyDescent="0.45">
      <c r="B15" s="168" t="s">
        <v>747</v>
      </c>
      <c r="C15" s="168"/>
      <c r="D15" s="6" t="s">
        <v>39</v>
      </c>
      <c r="E15" s="169">
        <f>C85</f>
        <v>4.3849208757774226E-2</v>
      </c>
      <c r="F15" s="122"/>
      <c r="G15" s="122"/>
      <c r="H15" s="322" t="s">
        <v>874</v>
      </c>
      <c r="I15" s="322"/>
      <c r="J15" s="284">
        <f>E7*((1+$J$13)^4)</f>
        <v>46405.84623889497</v>
      </c>
      <c r="K15" s="122"/>
      <c r="L15" s="322" t="s">
        <v>874</v>
      </c>
      <c r="M15" s="322"/>
      <c r="N15" s="284">
        <f>E7*((1+$N$13)^4)</f>
        <v>31650.229195037515</v>
      </c>
    </row>
    <row r="16" spans="1:14" x14ac:dyDescent="0.45">
      <c r="B16" s="21" t="s">
        <v>232</v>
      </c>
      <c r="C16" s="21"/>
      <c r="D16" s="97"/>
      <c r="E16" s="284">
        <f>C86</f>
        <v>4521.237886926172</v>
      </c>
      <c r="F16" s="122"/>
      <c r="G16" s="122"/>
      <c r="H16" s="322" t="s">
        <v>903</v>
      </c>
      <c r="I16" s="322"/>
      <c r="J16" s="283">
        <f>E6*((1+$J$13)^7)</f>
        <v>9418.9335062032187</v>
      </c>
      <c r="K16" s="122"/>
      <c r="L16" s="322" t="s">
        <v>903</v>
      </c>
      <c r="M16" s="322"/>
      <c r="N16" s="283">
        <f>E6*((1+$N$13)^7)</f>
        <v>4821.2429356409784</v>
      </c>
    </row>
    <row r="17" spans="1:14" x14ac:dyDescent="0.45">
      <c r="B17" s="21" t="s">
        <v>874</v>
      </c>
      <c r="C17" s="21"/>
      <c r="D17" s="21"/>
      <c r="E17" s="283">
        <f>C87</f>
        <v>32838.515167294419</v>
      </c>
      <c r="F17" s="122"/>
      <c r="G17" s="122"/>
      <c r="H17" s="322" t="s">
        <v>904</v>
      </c>
      <c r="I17" s="322"/>
      <c r="J17" s="283">
        <f>E7*((1+$J$13)^7)</f>
        <v>68411.306491434501</v>
      </c>
      <c r="K17" s="122"/>
      <c r="L17" s="322" t="s">
        <v>904</v>
      </c>
      <c r="M17" s="322"/>
      <c r="N17" s="283">
        <f>E7*((1+$N$13)^7)</f>
        <v>35017.502557224463</v>
      </c>
    </row>
    <row r="18" spans="1:14" x14ac:dyDescent="0.45">
      <c r="B18" s="21" t="s">
        <v>903</v>
      </c>
      <c r="C18" s="21"/>
      <c r="D18" s="21"/>
      <c r="E18" s="283">
        <f>$E$6*((1+$E$15)^7)</f>
        <v>5142.4568623776895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37350.533613960346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C93</f>
        <v>5.1504596802938368E-2</v>
      </c>
      <c r="F21" s="122"/>
      <c r="G21" s="122"/>
      <c r="H21" s="315" t="s">
        <v>910</v>
      </c>
      <c r="I21" s="323" t="str">
        <f>Output_Etapa1!$B$7</f>
        <v>Químicos</v>
      </c>
      <c r="J21" s="324">
        <f>E5+INDEX(Output_Etapa1!$B$5:$R$14,MATCH(I21,Output_Etapa1!$B$5:$B$14,0),MATCH(H21,Output_Etapa1!$B$5:$R$5,0))</f>
        <v>4.2230459773778817E-2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C94</f>
        <v>4655.3356086029044</v>
      </c>
      <c r="F22" s="122"/>
      <c r="G22" s="122"/>
      <c r="H22" s="321" t="s">
        <v>897</v>
      </c>
      <c r="I22" s="321"/>
      <c r="J22" s="284">
        <f>E6*((1+$J$21)^4)</f>
        <v>4493.2578206699318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3">
        <f>C95</f>
        <v>33812.48959140393</v>
      </c>
      <c r="F23" s="122"/>
      <c r="G23" s="122"/>
      <c r="H23" s="322" t="s">
        <v>874</v>
      </c>
      <c r="I23" s="322"/>
      <c r="J23" s="284">
        <f>E7*((1+$J$21)^4)</f>
        <v>32635.291215554487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5412.3331601583377</v>
      </c>
      <c r="F24" s="122"/>
      <c r="G24" s="122"/>
      <c r="H24" s="322" t="s">
        <v>903</v>
      </c>
      <c r="I24" s="322"/>
      <c r="J24" s="283">
        <f>E6*((1+$J$21)^7)</f>
        <v>5086.8932443193098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39310.690792061905</v>
      </c>
      <c r="F25" s="122"/>
      <c r="G25" s="122"/>
      <c r="H25" s="322" t="s">
        <v>904</v>
      </c>
      <c r="I25" s="322"/>
      <c r="J25" s="283">
        <f>E7*((1+$J$21)^7)</f>
        <v>36946.965661998329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ht="28.5" x14ac:dyDescent="0.45">
      <c r="A32" s="24"/>
      <c r="B32" s="117" t="s">
        <v>871</v>
      </c>
      <c r="C32" s="161">
        <f>'Cenario B benchmark va'!C6</f>
        <v>3.9058239918750223E-3</v>
      </c>
    </row>
    <row r="33" spans="1:12" ht="28.5" x14ac:dyDescent="0.45">
      <c r="A33" s="24"/>
      <c r="B33" s="117" t="s">
        <v>872</v>
      </c>
      <c r="C33" s="161">
        <f>'Cenario B benchmark va'!D6</f>
        <v>1.1561212037039161E-2</v>
      </c>
    </row>
    <row r="34" spans="1:12" x14ac:dyDescent="0.45">
      <c r="A34" s="24"/>
      <c r="B34" s="116" t="s">
        <v>756</v>
      </c>
      <c r="C34" s="119">
        <v>3.3000000000000002E-2</v>
      </c>
    </row>
    <row r="35" spans="1:12" x14ac:dyDescent="0.45">
      <c r="A35" s="24"/>
      <c r="B35" s="116" t="s">
        <v>745</v>
      </c>
      <c r="C35" s="164" t="str">
        <f>IF(D56&lt;3%,"produto disruptivo", "produto representativo")</f>
        <v>produto representativo</v>
      </c>
    </row>
    <row r="36" spans="1:12" x14ac:dyDescent="0.45">
      <c r="A36" s="24"/>
    </row>
    <row r="37" spans="1:12" x14ac:dyDescent="0.45">
      <c r="A37" s="24"/>
      <c r="B37" s="76" t="s">
        <v>832</v>
      </c>
      <c r="C37" s="7" t="s">
        <v>750</v>
      </c>
      <c r="D37" s="7"/>
      <c r="E37" s="7"/>
      <c r="F37" s="7"/>
      <c r="G37" s="7"/>
    </row>
    <row r="38" spans="1:12" x14ac:dyDescent="0.45">
      <c r="A38" s="24"/>
    </row>
    <row r="39" spans="1:12" x14ac:dyDescent="0.45">
      <c r="A39" s="24"/>
      <c r="B39" s="167" t="s">
        <v>747</v>
      </c>
      <c r="C39" s="6" t="s">
        <v>748</v>
      </c>
      <c r="D39" s="6"/>
      <c r="E39" s="6"/>
      <c r="F39" s="6"/>
      <c r="G39" s="6"/>
    </row>
    <row r="40" spans="1:12" ht="14" customHeight="1" x14ac:dyDescent="0.45">
      <c r="A40" s="24"/>
      <c r="B40" s="23"/>
      <c r="C40" s="23"/>
      <c r="D40" s="23"/>
      <c r="E40" s="23"/>
      <c r="F40" s="23"/>
      <c r="G40" s="23"/>
    </row>
    <row r="41" spans="1:12" x14ac:dyDescent="0.45">
      <c r="A41" s="24"/>
      <c r="B41" s="89" t="s">
        <v>185</v>
      </c>
      <c r="C41" s="5" t="s">
        <v>749</v>
      </c>
      <c r="D41" s="5"/>
      <c r="E41" s="5"/>
      <c r="F41" s="5"/>
      <c r="G41" s="5"/>
    </row>
    <row r="42" spans="1:12" ht="14" customHeight="1" x14ac:dyDescent="0.45">
      <c r="A42" s="24"/>
      <c r="B42" s="23"/>
      <c r="C42" s="165"/>
      <c r="D42" s="23"/>
      <c r="E42" s="23"/>
      <c r="F42" s="23"/>
      <c r="G42" s="23"/>
    </row>
    <row r="43" spans="1:12" ht="14" customHeight="1" x14ac:dyDescent="0.45">
      <c r="A43" s="24"/>
      <c r="B43" s="166" t="s">
        <v>746</v>
      </c>
      <c r="C43" s="165"/>
      <c r="D43" s="23"/>
      <c r="E43" s="23"/>
      <c r="F43" s="23"/>
      <c r="G43" s="23"/>
    </row>
    <row r="44" spans="1:12" x14ac:dyDescent="0.45">
      <c r="A44" s="24"/>
    </row>
    <row r="45" spans="1:12" x14ac:dyDescent="0.45">
      <c r="A45" s="24" t="s">
        <v>49</v>
      </c>
      <c r="B45" s="74" t="s">
        <v>785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45">
      <c r="A46" s="24"/>
      <c r="B46" s="75" t="s">
        <v>228</v>
      </c>
      <c r="C46" s="24"/>
      <c r="D46" s="24"/>
      <c r="E46" s="24"/>
      <c r="F46" s="24"/>
      <c r="G46" s="24"/>
      <c r="H46" s="24"/>
      <c r="I46" s="24"/>
      <c r="J46" s="24"/>
      <c r="K46" s="24"/>
    </row>
    <row r="47" spans="1:12" x14ac:dyDescent="0.45">
      <c r="A47" s="24"/>
      <c r="B47" s="20" t="s">
        <v>44</v>
      </c>
      <c r="C47" s="25">
        <v>2016</v>
      </c>
      <c r="D47" s="25">
        <v>2017</v>
      </c>
      <c r="E47" s="25">
        <v>2018</v>
      </c>
      <c r="F47" s="25">
        <v>2019</v>
      </c>
      <c r="G47" s="25">
        <v>2020</v>
      </c>
      <c r="H47" s="25">
        <v>2021</v>
      </c>
      <c r="I47" s="25" t="s">
        <v>43</v>
      </c>
      <c r="J47" s="24"/>
      <c r="K47" s="24"/>
    </row>
    <row r="48" spans="1:12" x14ac:dyDescent="0.45">
      <c r="A48" s="24"/>
      <c r="B48" s="80" t="s">
        <v>191</v>
      </c>
      <c r="C48" s="81">
        <v>59163736</v>
      </c>
      <c r="D48" s="81">
        <v>60327429</v>
      </c>
      <c r="E48" s="81">
        <v>64772208</v>
      </c>
      <c r="F48" s="81">
        <v>66691159</v>
      </c>
      <c r="G48" s="81">
        <v>84676282</v>
      </c>
      <c r="H48" s="81">
        <v>124055577</v>
      </c>
      <c r="I48" s="83">
        <f>C48*$C$28</f>
        <v>80596709.031128258</v>
      </c>
      <c r="J48" s="24"/>
      <c r="K48" s="24"/>
    </row>
    <row r="49" spans="1:12" hidden="1" x14ac:dyDescent="0.45">
      <c r="A49" s="24"/>
      <c r="B49" s="3" t="s">
        <v>192</v>
      </c>
      <c r="C49" s="79">
        <v>2298522</v>
      </c>
      <c r="D49" s="79">
        <v>1880310</v>
      </c>
      <c r="E49" s="79">
        <v>2459502</v>
      </c>
      <c r="F49" s="79">
        <v>2378303</v>
      </c>
      <c r="G49" s="79">
        <v>5199651</v>
      </c>
      <c r="H49" s="79">
        <v>10287920</v>
      </c>
      <c r="I49" s="82">
        <f>C49*$C$28</f>
        <v>3131196.9351571538</v>
      </c>
      <c r="J49" s="24"/>
      <c r="K49" s="24"/>
    </row>
    <row r="50" spans="1:12" x14ac:dyDescent="0.45">
      <c r="A50" s="24"/>
      <c r="B50" s="3" t="s">
        <v>193</v>
      </c>
      <c r="C50" s="79">
        <v>6807185</v>
      </c>
      <c r="D50" s="79">
        <v>6336546</v>
      </c>
      <c r="E50" s="79">
        <v>7699646</v>
      </c>
      <c r="F50" s="79">
        <v>6604679</v>
      </c>
      <c r="G50" s="79">
        <v>10225274</v>
      </c>
      <c r="H50" s="79">
        <v>16477989</v>
      </c>
      <c r="I50" s="82">
        <f>C50*$C$28</f>
        <v>9273192.4293296952</v>
      </c>
      <c r="J50" s="24"/>
      <c r="K50" s="24"/>
    </row>
    <row r="51" spans="1:12" x14ac:dyDescent="0.45">
      <c r="A51" s="24"/>
      <c r="C51" s="12">
        <f>SUM(C49:C50)</f>
        <v>9105707</v>
      </c>
      <c r="D51" s="12">
        <f t="shared" ref="D51:H51" si="0">SUM(D49:D50)</f>
        <v>8216856</v>
      </c>
      <c r="E51" s="12">
        <f t="shared" si="0"/>
        <v>10159148</v>
      </c>
      <c r="F51" s="12">
        <f t="shared" si="0"/>
        <v>8982982</v>
      </c>
      <c r="G51" s="12">
        <f t="shared" si="0"/>
        <v>15424925</v>
      </c>
      <c r="H51" s="12">
        <f t="shared" si="0"/>
        <v>26765909</v>
      </c>
      <c r="I51" s="24"/>
      <c r="J51" s="24"/>
      <c r="K51" s="24"/>
    </row>
    <row r="52" spans="1:12" x14ac:dyDescent="0.45">
      <c r="A52" s="24"/>
      <c r="B52" s="75" t="s">
        <v>184</v>
      </c>
      <c r="C52" s="109"/>
      <c r="D52" s="109"/>
      <c r="E52" s="109"/>
      <c r="F52" s="109"/>
      <c r="G52" s="130"/>
      <c r="H52" s="130"/>
      <c r="I52" s="11"/>
      <c r="J52" s="182"/>
      <c r="K52" s="24"/>
    </row>
    <row r="53" spans="1:12" x14ac:dyDescent="0.45">
      <c r="A53" s="24"/>
      <c r="B53" s="170" t="s">
        <v>44</v>
      </c>
      <c r="C53" s="171" t="s">
        <v>43</v>
      </c>
      <c r="D53" s="171">
        <v>2021</v>
      </c>
      <c r="E53" s="171" t="s">
        <v>48</v>
      </c>
      <c r="F53" s="171" t="s">
        <v>39</v>
      </c>
      <c r="G53" s="90"/>
      <c r="I53" s="90"/>
      <c r="J53" s="24"/>
      <c r="K53" s="24"/>
    </row>
    <row r="54" spans="1:12" x14ac:dyDescent="0.45">
      <c r="A54" s="24"/>
      <c r="B54" s="91" t="s">
        <v>225</v>
      </c>
      <c r="C54" s="84">
        <f>C48*$C$31*$C$30/1000</f>
        <v>19378.555929641414</v>
      </c>
      <c r="D54" s="84">
        <f>H48*$C$29/1000</f>
        <v>23570.55963</v>
      </c>
      <c r="E54" s="94">
        <f>D54-C54</f>
        <v>4192.0037003585858</v>
      </c>
      <c r="F54" s="95">
        <f>(D54/C54)^(1/5)-1</f>
        <v>3.9943384765899204E-2</v>
      </c>
      <c r="G54" s="90"/>
      <c r="I54" s="90"/>
      <c r="J54" s="24"/>
      <c r="K54" s="24"/>
    </row>
    <row r="55" spans="1:12" x14ac:dyDescent="0.45">
      <c r="A55" s="24"/>
      <c r="B55" s="22" t="s">
        <v>224</v>
      </c>
      <c r="C55" s="84">
        <f>C50*$C$31*$C$30/1000</f>
        <v>2229.6329502571652</v>
      </c>
      <c r="D55" s="179">
        <f>(H50*$C$29/1000)</f>
        <v>3130.8179100000002</v>
      </c>
      <c r="E55" s="94">
        <f>D55-C55</f>
        <v>901.18495974283496</v>
      </c>
      <c r="F55" s="96">
        <f>(D55/C55)^(1/5)-1</f>
        <v>7.0249139021220985E-2</v>
      </c>
      <c r="G55" s="24"/>
      <c r="H55" s="90"/>
      <c r="I55" s="14"/>
      <c r="L55" s="14"/>
    </row>
    <row r="56" spans="1:12" x14ac:dyDescent="0.45">
      <c r="A56" s="24"/>
      <c r="B56" t="s">
        <v>231</v>
      </c>
      <c r="C56" s="14">
        <f>C55/C54</f>
        <v>0.11505671311899571</v>
      </c>
      <c r="D56" s="14">
        <f>D55/D54</f>
        <v>0.13282747457617325</v>
      </c>
      <c r="E56" s="14"/>
      <c r="F56" s="14"/>
      <c r="G56" s="14"/>
      <c r="H56" s="14"/>
      <c r="I56" s="14"/>
      <c r="L56" s="14"/>
    </row>
    <row r="57" spans="1:12" x14ac:dyDescent="0.45">
      <c r="A57" s="24"/>
      <c r="C57" s="14"/>
      <c r="D57" s="14"/>
      <c r="E57" s="14"/>
      <c r="F57" s="14"/>
      <c r="G57" s="14"/>
      <c r="H57" s="14"/>
      <c r="I57" s="14"/>
      <c r="L57" s="14"/>
    </row>
    <row r="58" spans="1:12" x14ac:dyDescent="0.45">
      <c r="A58" s="24" t="s">
        <v>50</v>
      </c>
      <c r="B58" s="74" t="s">
        <v>786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1:12" x14ac:dyDescent="0.45">
      <c r="A59" s="24"/>
      <c r="B59" s="75" t="s">
        <v>783</v>
      </c>
      <c r="C59" s="127"/>
      <c r="D59" s="127"/>
      <c r="E59" s="127"/>
      <c r="F59" s="127"/>
      <c r="G59" s="127"/>
      <c r="H59" s="127"/>
      <c r="I59" s="124"/>
      <c r="J59" s="24"/>
      <c r="K59" s="24"/>
    </row>
    <row r="60" spans="1:12" x14ac:dyDescent="0.45">
      <c r="A60" s="24"/>
      <c r="B60" s="20" t="s">
        <v>44</v>
      </c>
      <c r="C60" s="25">
        <v>2016</v>
      </c>
      <c r="D60" s="25">
        <v>2017</v>
      </c>
      <c r="E60" s="25">
        <v>2018</v>
      </c>
      <c r="F60" s="25">
        <v>2019</v>
      </c>
      <c r="G60" s="25">
        <v>2020</v>
      </c>
      <c r="H60" s="25">
        <v>2021</v>
      </c>
      <c r="J60" s="183" t="s">
        <v>782</v>
      </c>
      <c r="K60" s="24"/>
    </row>
    <row r="61" spans="1:12" x14ac:dyDescent="0.45">
      <c r="A61" s="24"/>
      <c r="B61" s="80" t="s">
        <v>191</v>
      </c>
      <c r="C61" s="78">
        <f>VLOOKUP($B61,'Dados IBGE - VPB'!$A$4:$G$423,2,FALSE)</f>
        <v>255952489</v>
      </c>
      <c r="D61" s="78">
        <f>VLOOKUP($B61,'Dados IBGE - VPB'!$A$4:$G$423,3,FALSE)</f>
        <v>263171207</v>
      </c>
      <c r="E61" s="78">
        <f>VLOOKUP($B61,'Dados IBGE - VPB'!$A$4:$G$423,4,FALSE)</f>
        <v>307436045</v>
      </c>
      <c r="F61" s="78">
        <f>VLOOKUP($B61,'Dados IBGE - VPB'!$A$4:$G$423,5,FALSE)</f>
        <v>329074430</v>
      </c>
      <c r="G61" s="78">
        <f>VLOOKUP($B61,'Dados IBGE - VPB'!$A$4:$G$423,6,FALSE)</f>
        <v>380625283</v>
      </c>
      <c r="H61" s="78">
        <f>VLOOKUP($B61,'Dados IBGE - VPB'!$A$4:$G$423,7,FALSE)</f>
        <v>545316781</v>
      </c>
      <c r="K61" s="24"/>
    </row>
    <row r="62" spans="1:12" x14ac:dyDescent="0.45">
      <c r="A62" s="24"/>
      <c r="B62" s="3" t="s">
        <v>193</v>
      </c>
      <c r="C62" s="78">
        <f>VLOOKUP($B62,'Dados IBGE - VPB'!$A$4:$G$423,2,FALSE)</f>
        <v>44569650</v>
      </c>
      <c r="D62" s="78">
        <f>VLOOKUP($B62,'Dados IBGE - VPB'!$A$4:$G$423,3,FALSE)</f>
        <v>43204061</v>
      </c>
      <c r="E62" s="78">
        <f>VLOOKUP($B62,'Dados IBGE - VPB'!$A$4:$G$423,4,FALSE)</f>
        <v>53409203</v>
      </c>
      <c r="F62" s="78">
        <f>VLOOKUP($B62,'Dados IBGE - VPB'!$A$4:$G$423,5,FALSE)</f>
        <v>59811686</v>
      </c>
      <c r="G62" s="78">
        <f>VLOOKUP($B62,'Dados IBGE - VPB'!$A$4:$G$423,6,FALSE)</f>
        <v>71429126</v>
      </c>
      <c r="H62" s="78">
        <f>VLOOKUP($B62,'Dados IBGE - VPB'!$A$4:$G$423,7,FALSE)</f>
        <v>119682420</v>
      </c>
      <c r="J62" s="11">
        <f>H62*$C$29/1000</f>
        <v>22739.659800000001</v>
      </c>
      <c r="K62" s="24"/>
    </row>
    <row r="63" spans="1:12" x14ac:dyDescent="0.45">
      <c r="A63" s="24"/>
      <c r="B63" s="109"/>
      <c r="C63" s="109"/>
      <c r="D63" s="109"/>
      <c r="E63" s="109"/>
      <c r="F63" s="109"/>
      <c r="G63" s="109"/>
      <c r="H63" s="109"/>
      <c r="I63" s="11"/>
      <c r="J63" s="182">
        <f>SUM(J62:J62)</f>
        <v>22739.659800000001</v>
      </c>
      <c r="K63" s="24"/>
    </row>
    <row r="64" spans="1:12" x14ac:dyDescent="0.45">
      <c r="A64" s="24"/>
      <c r="C64" s="14"/>
      <c r="D64" s="14"/>
      <c r="E64" s="14"/>
      <c r="F64" s="14"/>
      <c r="G64" s="14"/>
      <c r="H64" s="14"/>
      <c r="I64" s="14"/>
      <c r="L64" s="14"/>
    </row>
    <row r="65" spans="1:13" x14ac:dyDescent="0.45">
      <c r="A65" s="24" t="s">
        <v>784</v>
      </c>
      <c r="B65" s="21" t="s">
        <v>877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3" x14ac:dyDescent="0.45">
      <c r="B66" s="73" t="s">
        <v>229</v>
      </c>
    </row>
    <row r="67" spans="1:13" x14ac:dyDescent="0.45">
      <c r="B67" s="73"/>
    </row>
    <row r="68" spans="1:13" x14ac:dyDescent="0.45">
      <c r="B68" t="s">
        <v>817</v>
      </c>
      <c r="C68">
        <f>2026-2021</f>
        <v>5</v>
      </c>
    </row>
    <row r="69" spans="1:13" x14ac:dyDescent="0.45">
      <c r="B69" t="s">
        <v>818</v>
      </c>
      <c r="C69">
        <f>2030-2026</f>
        <v>4</v>
      </c>
    </row>
    <row r="70" spans="1:13" x14ac:dyDescent="0.45">
      <c r="B70" s="73"/>
    </row>
    <row r="71" spans="1:13" x14ac:dyDescent="0.45">
      <c r="B71" s="1" t="s">
        <v>858</v>
      </c>
    </row>
    <row r="72" spans="1:13" x14ac:dyDescent="0.45">
      <c r="B72" s="270" t="s">
        <v>852</v>
      </c>
      <c r="C72" s="271"/>
      <c r="D72" s="271"/>
      <c r="E72" s="271"/>
    </row>
    <row r="73" spans="1:13" x14ac:dyDescent="0.45">
      <c r="B73" s="23" t="s">
        <v>862</v>
      </c>
      <c r="C73" s="85">
        <f>F54</f>
        <v>3.9943384765899204E-2</v>
      </c>
      <c r="D73" s="85"/>
    </row>
    <row r="74" spans="1:13" x14ac:dyDescent="0.45">
      <c r="B74" s="23" t="s">
        <v>863</v>
      </c>
      <c r="C74" s="87">
        <f>D55*((1+C73)^C68)</f>
        <v>3808.0820111807234</v>
      </c>
      <c r="D74" s="98"/>
      <c r="E74" s="98"/>
    </row>
    <row r="75" spans="1:13" x14ac:dyDescent="0.45">
      <c r="B75" s="23" t="s">
        <v>864</v>
      </c>
      <c r="C75" s="178">
        <f>J63*((1+C73)^C68)</f>
        <v>27658.743470248464</v>
      </c>
      <c r="D75" s="85"/>
    </row>
    <row r="76" spans="1:13" x14ac:dyDescent="0.45">
      <c r="B76" s="23"/>
      <c r="C76" s="178"/>
      <c r="D76" s="85"/>
    </row>
    <row r="77" spans="1:13" x14ac:dyDescent="0.45">
      <c r="B77" s="1" t="s">
        <v>859</v>
      </c>
    </row>
    <row r="78" spans="1:13" x14ac:dyDescent="0.45">
      <c r="B78" s="270" t="s">
        <v>852</v>
      </c>
      <c r="C78" s="271"/>
      <c r="D78" s="271"/>
      <c r="E78" s="271"/>
    </row>
    <row r="79" spans="1:13" x14ac:dyDescent="0.45">
      <c r="B79" s="23" t="s">
        <v>862</v>
      </c>
      <c r="C79" s="85">
        <f>F54</f>
        <v>3.9943384765899204E-2</v>
      </c>
      <c r="D79" s="85"/>
    </row>
    <row r="80" spans="1:13" x14ac:dyDescent="0.45">
      <c r="B80" s="23" t="s">
        <v>880</v>
      </c>
      <c r="C80" s="87">
        <f>C74*((1+C79)^C69)</f>
        <v>4453.9473549093909</v>
      </c>
      <c r="D80" s="98"/>
      <c r="E80" s="98"/>
    </row>
    <row r="81" spans="2:5" x14ac:dyDescent="0.45">
      <c r="B81" s="23" t="s">
        <v>881</v>
      </c>
      <c r="C81" s="178">
        <f>C75*((1+C79)^C69)</f>
        <v>32349.772656612087</v>
      </c>
      <c r="D81" s="85"/>
    </row>
    <row r="82" spans="2:5" x14ac:dyDescent="0.45">
      <c r="B82" s="23"/>
      <c r="C82" s="178"/>
      <c r="D82" s="85"/>
    </row>
    <row r="83" spans="2:5" x14ac:dyDescent="0.45">
      <c r="B83" s="1" t="s">
        <v>860</v>
      </c>
    </row>
    <row r="84" spans="2:5" x14ac:dyDescent="0.45">
      <c r="B84" s="270" t="s">
        <v>865</v>
      </c>
      <c r="C84" s="271"/>
      <c r="D84" s="271"/>
      <c r="E84" s="271"/>
    </row>
    <row r="85" spans="2:5" x14ac:dyDescent="0.45">
      <c r="B85" s="23" t="s">
        <v>866</v>
      </c>
      <c r="C85" s="144">
        <f>C73+C32</f>
        <v>4.3849208757774226E-2</v>
      </c>
      <c r="D85" s="85"/>
    </row>
    <row r="86" spans="2:5" ht="17" customHeight="1" x14ac:dyDescent="0.45">
      <c r="B86" s="23" t="s">
        <v>880</v>
      </c>
      <c r="C86" s="248">
        <f>C74*((1+C85)^C69)</f>
        <v>4521.237886926172</v>
      </c>
      <c r="D86" s="98"/>
      <c r="E86" s="98"/>
    </row>
    <row r="87" spans="2:5" ht="17" customHeight="1" x14ac:dyDescent="0.45">
      <c r="B87" s="23" t="s">
        <v>881</v>
      </c>
      <c r="C87" s="178">
        <f>C75*((1+C85)^C69)</f>
        <v>32838.515167294419</v>
      </c>
      <c r="D87" s="85"/>
    </row>
    <row r="88" spans="2:5" ht="17" customHeight="1" x14ac:dyDescent="0.45"/>
    <row r="89" spans="2:5" ht="17" customHeight="1" x14ac:dyDescent="0.45">
      <c r="B89" s="274" t="s">
        <v>849</v>
      </c>
      <c r="C89" s="274" t="str">
        <f>C35</f>
        <v>produto representativo</v>
      </c>
    </row>
    <row r="90" spans="2:5" ht="17" customHeight="1" x14ac:dyDescent="0.45"/>
    <row r="91" spans="2:5" x14ac:dyDescent="0.45">
      <c r="B91" s="1" t="s">
        <v>861</v>
      </c>
    </row>
    <row r="92" spans="2:5" x14ac:dyDescent="0.45">
      <c r="B92" s="270" t="s">
        <v>882</v>
      </c>
      <c r="C92" s="271"/>
      <c r="D92" s="271"/>
      <c r="E92" s="271"/>
    </row>
    <row r="93" spans="2:5" ht="17" customHeight="1" x14ac:dyDescent="0.45">
      <c r="B93" s="23" t="s">
        <v>867</v>
      </c>
      <c r="C93" s="144">
        <f>IF(AND((C89="produto disruptivo"),(C35&gt;(C73+C33))),C35,(C73+C33))</f>
        <v>5.1504596802938368E-2</v>
      </c>
      <c r="D93" s="85"/>
    </row>
    <row r="94" spans="2:5" ht="17" customHeight="1" x14ac:dyDescent="0.45">
      <c r="B94" s="23" t="s">
        <v>880</v>
      </c>
      <c r="C94" s="248">
        <f>C74*((1+C93)^C69)</f>
        <v>4655.3356086029044</v>
      </c>
      <c r="D94" s="85"/>
    </row>
    <row r="95" spans="2:5" ht="17" customHeight="1" x14ac:dyDescent="0.45">
      <c r="B95" s="23" t="s">
        <v>881</v>
      </c>
      <c r="C95" s="178">
        <f>C75*((1+C93)^C69)</f>
        <v>33812.48959140393</v>
      </c>
      <c r="D95" s="8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C311-93D8-4416-B198-E5604A220BDC}">
  <dimension ref="A1:N100"/>
  <sheetViews>
    <sheetView showGridLines="0" zoomScale="87" zoomScaleNormal="100" workbookViewId="0"/>
  </sheetViews>
  <sheetFormatPr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8" width="16" customWidth="1"/>
    <col min="9" max="9" width="14.6640625" customWidth="1"/>
    <col min="10" max="10" width="18.6640625" customWidth="1"/>
    <col min="11" max="12" width="16.53125" customWidth="1"/>
    <col min="13" max="13" width="15.1328125" customWidth="1"/>
  </cols>
  <sheetData>
    <row r="1" spans="1:14" s="69" customFormat="1" ht="22.25" customHeight="1" thickBot="1" x14ac:dyDescent="0.6">
      <c r="A1" s="70" t="s">
        <v>248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C78</f>
        <v>0</v>
      </c>
      <c r="F5" s="122"/>
      <c r="G5" s="122"/>
      <c r="H5" s="315" t="s">
        <v>908</v>
      </c>
      <c r="I5" s="323" t="str">
        <f>Output_Etapa1!$B$12</f>
        <v>Fármacos</v>
      </c>
      <c r="J5" s="324">
        <f>E5+INDEX(Output_Etapa1!$B$5:$R$14,MATCH(I5,Output_Etapa1!$B$5:$B$14,0),MATCH(H5,Output_Etapa1!$B$5:$R$5,0))</f>
        <v>5.0943591047324377E-2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C79</f>
        <v>118.83927150000001</v>
      </c>
      <c r="F6" s="122"/>
      <c r="G6" s="122"/>
      <c r="H6" s="321" t="s">
        <v>897</v>
      </c>
      <c r="I6" s="321"/>
      <c r="J6" s="284">
        <f>E6*((1+$J$5)^4)</f>
        <v>144.96982183995254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C80</f>
        <v>278.86748399999999</v>
      </c>
      <c r="F7" s="122"/>
      <c r="G7" s="122"/>
      <c r="H7" s="322" t="s">
        <v>874</v>
      </c>
      <c r="I7" s="322"/>
      <c r="J7" s="284">
        <f>E7*((1+$J$5)^4)</f>
        <v>340.18526840629283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168.27353700597979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C84</f>
        <v>0</v>
      </c>
      <c r="F9" s="122"/>
      <c r="G9" s="122"/>
      <c r="H9" s="322" t="s">
        <v>904</v>
      </c>
      <c r="I9" s="322"/>
      <c r="J9" s="283">
        <f>E7*((1+$J$5)^7)</f>
        <v>394.86961924567566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C85</f>
        <v>118.83927150000001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C86</f>
        <v>278.86748399999999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118.83927150000001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278.86748399999999</v>
      </c>
      <c r="F13" s="122"/>
      <c r="G13" s="122"/>
      <c r="H13" s="315" t="s">
        <v>909</v>
      </c>
      <c r="I13" s="323" t="str">
        <f>Output_Etapa1!$B$12</f>
        <v>Fármacos</v>
      </c>
      <c r="J13" s="324">
        <f>E5+INDEX(Output_Etapa1!$B$5:$R$14,MATCH(I13,Output_Etapa1!$B$5:$B$14,0),MATCH(H13,Output_Etapa1!$B$5:$R$5,0))</f>
        <v>0.20202985589177747</v>
      </c>
      <c r="K13" s="122"/>
      <c r="L13" s="315" t="s">
        <v>997</v>
      </c>
      <c r="M13" s="323" t="str">
        <f>Output_Etapa1!$B$12</f>
        <v>Fármacos</v>
      </c>
      <c r="N13" s="324">
        <f>INDEX(Output_Etapa1!$B$5:$R$14,MATCH(M13,Output_Etapa1!$B$5:$B$14,0),MATCH(L13,Output_Etapa1!$B$5:$R$5,0))</f>
        <v>0.16119199506367798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248.09670700403581</v>
      </c>
      <c r="K14" s="122"/>
      <c r="L14" s="321" t="s">
        <v>897</v>
      </c>
      <c r="M14" s="321"/>
      <c r="N14" s="284">
        <f>E6*((1+$N$13)^4)</f>
        <v>216.06086672017651</v>
      </c>
    </row>
    <row r="15" spans="1:14" x14ac:dyDescent="0.45">
      <c r="B15" s="168" t="s">
        <v>747</v>
      </c>
      <c r="C15" s="168"/>
      <c r="D15" s="6" t="s">
        <v>39</v>
      </c>
      <c r="E15" s="169">
        <f>C90</f>
        <v>1.8433425504031018E-2</v>
      </c>
      <c r="F15" s="122"/>
      <c r="G15" s="122"/>
      <c r="H15" s="322" t="s">
        <v>874</v>
      </c>
      <c r="I15" s="322"/>
      <c r="J15" s="284">
        <f>E7*((1+$J$13)^4)</f>
        <v>582.18216585836808</v>
      </c>
      <c r="K15" s="122"/>
      <c r="L15" s="322" t="s">
        <v>874</v>
      </c>
      <c r="M15" s="322"/>
      <c r="N15" s="284">
        <f>E7*((1+$N$13)^4)</f>
        <v>507.00706536319478</v>
      </c>
    </row>
    <row r="16" spans="1:14" x14ac:dyDescent="0.45">
      <c r="B16" s="21" t="s">
        <v>232</v>
      </c>
      <c r="C16" s="21"/>
      <c r="D16" s="97"/>
      <c r="E16" s="284">
        <f>C91</f>
        <v>127.84700527471189</v>
      </c>
      <c r="F16" s="122"/>
      <c r="G16" s="122"/>
      <c r="H16" s="322" t="s">
        <v>903</v>
      </c>
      <c r="I16" s="322"/>
      <c r="J16" s="283">
        <f>E6*((1+$J$13)^7)</f>
        <v>430.89034625936705</v>
      </c>
      <c r="K16" s="122"/>
      <c r="L16" s="322" t="s">
        <v>903</v>
      </c>
      <c r="M16" s="322"/>
      <c r="N16" s="283">
        <f>E6*((1+$N$13)^7)</f>
        <v>338.28926285979702</v>
      </c>
    </row>
    <row r="17" spans="1:14" x14ac:dyDescent="0.45">
      <c r="B17" s="21" t="s">
        <v>874</v>
      </c>
      <c r="C17" s="21"/>
      <c r="D17" s="21"/>
      <c r="E17" s="283">
        <f>C92</f>
        <v>300.00497518948214</v>
      </c>
      <c r="F17" s="122"/>
      <c r="G17" s="122"/>
      <c r="H17" s="322" t="s">
        <v>904</v>
      </c>
      <c r="I17" s="322"/>
      <c r="J17" s="283">
        <f>E7*((1+$J$13)^7)</f>
        <v>1011.1245653440284</v>
      </c>
      <c r="K17" s="122"/>
      <c r="L17" s="322" t="s">
        <v>904</v>
      </c>
      <c r="M17" s="322"/>
      <c r="N17" s="283">
        <f>E7*((1+$N$13)^7)</f>
        <v>793.82744783929638</v>
      </c>
    </row>
    <row r="18" spans="1:14" x14ac:dyDescent="0.45">
      <c r="B18" s="21" t="s">
        <v>903</v>
      </c>
      <c r="C18" s="21"/>
      <c r="D18" s="21"/>
      <c r="E18" s="283">
        <f>$E$6*((1+$E$15)^7)</f>
        <v>135.04810464206273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316.90302948803202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C98</f>
        <v>7.1999999999999995E-2</v>
      </c>
      <c r="F21" s="122"/>
      <c r="G21" s="122"/>
      <c r="H21" s="315" t="s">
        <v>910</v>
      </c>
      <c r="I21" s="323" t="str">
        <f>Output_Etapa1!$B$12</f>
        <v>Fármacos</v>
      </c>
      <c r="J21" s="324">
        <f>E5+INDEX(Output_Etapa1!$B$5:$R$14,MATCH(I21,Output_Etapa1!$B$5:$B$14,0),MATCH(H21,Output_Etapa1!$B$5:$R$5,0))</f>
        <v>9.7561532037185872E-3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C99</f>
        <v>156.94197814384086</v>
      </c>
      <c r="F22" s="122"/>
      <c r="G22" s="122"/>
      <c r="H22" s="321" t="s">
        <v>897</v>
      </c>
      <c r="I22" s="321"/>
      <c r="J22" s="284">
        <f>E6*((1+$J$21)^4)</f>
        <v>123.54523908982331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3">
        <f>C100</f>
        <v>368.27905478161637</v>
      </c>
      <c r="F23" s="122"/>
      <c r="G23" s="122"/>
      <c r="H23" s="322" t="s">
        <v>874</v>
      </c>
      <c r="I23" s="322"/>
      <c r="J23" s="284">
        <f>E7*((1+$J$21)^4)</f>
        <v>289.91047782683074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193.34078534646173</v>
      </c>
      <c r="F24" s="122"/>
      <c r="G24" s="122"/>
      <c r="H24" s="322" t="s">
        <v>903</v>
      </c>
      <c r="I24" s="322"/>
      <c r="J24" s="283">
        <f>E6*((1+$J$21)^7)</f>
        <v>127.19661069982236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453.69226589504842</v>
      </c>
      <c r="F25" s="122"/>
      <c r="G25" s="122"/>
      <c r="H25" s="322" t="s">
        <v>904</v>
      </c>
      <c r="I25" s="322"/>
      <c r="J25" s="283">
        <f>E7*((1+$J$21)^7)</f>
        <v>298.47876338746266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ht="28.25" customHeight="1" x14ac:dyDescent="0.45">
      <c r="A32" s="24"/>
      <c r="B32" s="117" t="s">
        <v>296</v>
      </c>
      <c r="C32" s="119">
        <v>1.7999999999999999E-2</v>
      </c>
    </row>
    <row r="33" spans="1:13" ht="28.5" x14ac:dyDescent="0.45">
      <c r="A33" s="24"/>
      <c r="B33" s="117" t="s">
        <v>871</v>
      </c>
      <c r="C33" s="161">
        <f>'Cenario B benchmark va'!C11</f>
        <v>1.8433425504031018E-2</v>
      </c>
    </row>
    <row r="34" spans="1:13" ht="28.5" x14ac:dyDescent="0.45">
      <c r="A34" s="24"/>
      <c r="B34" s="117" t="s">
        <v>872</v>
      </c>
      <c r="C34" s="161">
        <f>'Cenario B benchmark va'!D11</f>
        <v>3.9298349258148527E-2</v>
      </c>
    </row>
    <row r="35" spans="1:13" ht="20.45" customHeight="1" x14ac:dyDescent="0.45">
      <c r="A35" s="24"/>
      <c r="B35" s="116" t="s">
        <v>756</v>
      </c>
      <c r="C35" s="115">
        <v>7.1999999999999995E-2</v>
      </c>
    </row>
    <row r="36" spans="1:13" x14ac:dyDescent="0.45">
      <c r="A36" s="24"/>
      <c r="B36" s="116" t="s">
        <v>745</v>
      </c>
      <c r="C36" s="164" t="str">
        <f>IF(D47&lt;3%,"produto disruptivo", "produto representativo")</f>
        <v>produto disruptivo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45">
      <c r="A49" s="24"/>
      <c r="B49" s="106" t="s">
        <v>234</v>
      </c>
      <c r="C49" s="114">
        <v>20184305</v>
      </c>
      <c r="D49" s="114">
        <v>22324810</v>
      </c>
      <c r="E49" s="114">
        <v>24853634</v>
      </c>
      <c r="F49" s="114">
        <v>25144045</v>
      </c>
      <c r="G49" s="114">
        <v>30805007</v>
      </c>
      <c r="H49" s="114">
        <v>34748325</v>
      </c>
      <c r="I49" s="83">
        <f t="shared" ref="I49:I54" si="0">C49*$C$28</f>
        <v>27496379.827679358</v>
      </c>
      <c r="K49" s="24"/>
      <c r="L49" s="24"/>
    </row>
    <row r="50" spans="1:13" x14ac:dyDescent="0.45">
      <c r="A50" s="24"/>
      <c r="B50" s="103" t="s">
        <v>235</v>
      </c>
      <c r="C50" s="104">
        <v>156624</v>
      </c>
      <c r="D50" s="104">
        <v>222081</v>
      </c>
      <c r="E50" s="104">
        <v>385190</v>
      </c>
      <c r="F50" s="104">
        <v>484485</v>
      </c>
      <c r="G50" s="104">
        <v>761153</v>
      </c>
      <c r="H50" s="104">
        <v>975974</v>
      </c>
      <c r="I50" s="82">
        <f t="shared" si="0"/>
        <v>213363.45215405989</v>
      </c>
      <c r="K50" s="24"/>
      <c r="L50" s="24"/>
    </row>
    <row r="51" spans="1:13" s="122" customFormat="1" x14ac:dyDescent="0.45">
      <c r="A51" s="120"/>
      <c r="B51" s="103" t="s">
        <v>237</v>
      </c>
      <c r="C51" s="104">
        <v>20027681</v>
      </c>
      <c r="D51" s="104">
        <v>22102729</v>
      </c>
      <c r="E51" s="104">
        <v>24468444</v>
      </c>
      <c r="F51" s="104">
        <v>24659560</v>
      </c>
      <c r="G51" s="104">
        <v>30043854</v>
      </c>
      <c r="H51" s="104">
        <v>33772351</v>
      </c>
      <c r="I51" s="121">
        <f t="shared" si="0"/>
        <v>27283016.375525299</v>
      </c>
      <c r="K51" s="120"/>
      <c r="L51" s="120"/>
    </row>
    <row r="52" spans="1:13" x14ac:dyDescent="0.45">
      <c r="A52" s="24"/>
      <c r="B52" s="103" t="s">
        <v>238</v>
      </c>
      <c r="C52" s="104">
        <v>18428643</v>
      </c>
      <c r="D52" s="104">
        <v>20503825</v>
      </c>
      <c r="E52" s="104">
        <v>22342421</v>
      </c>
      <c r="F52" s="104">
        <v>22777495</v>
      </c>
      <c r="G52" s="104">
        <v>27893100</v>
      </c>
      <c r="H52" s="104">
        <v>31189768</v>
      </c>
      <c r="I52" s="82">
        <f t="shared" si="0"/>
        <v>25104702.274202872</v>
      </c>
      <c r="K52" s="24"/>
      <c r="L52" s="24"/>
    </row>
    <row r="53" spans="1:13" x14ac:dyDescent="0.45">
      <c r="A53" s="24"/>
      <c r="B53" s="103" t="s">
        <v>239</v>
      </c>
      <c r="C53" s="104">
        <v>1485664</v>
      </c>
      <c r="D53" s="104">
        <v>1474160</v>
      </c>
      <c r="E53" s="104">
        <v>1999154</v>
      </c>
      <c r="F53" s="104">
        <v>1720027</v>
      </c>
      <c r="G53" s="104">
        <v>1947793</v>
      </c>
      <c r="H53" s="104">
        <v>2373096</v>
      </c>
      <c r="I53" s="82">
        <f t="shared" si="0"/>
        <v>2023868.6266537008</v>
      </c>
      <c r="K53" s="24"/>
      <c r="L53" s="24"/>
    </row>
    <row r="54" spans="1:13" x14ac:dyDescent="0.45">
      <c r="A54" s="24"/>
      <c r="B54" s="103" t="s">
        <v>240</v>
      </c>
      <c r="C54" s="104">
        <v>113374</v>
      </c>
      <c r="D54" s="104">
        <v>124744</v>
      </c>
      <c r="E54" s="104">
        <v>126869</v>
      </c>
      <c r="F54" s="104">
        <v>162038</v>
      </c>
      <c r="G54" s="104">
        <v>202961</v>
      </c>
      <c r="H54" s="104">
        <v>209487</v>
      </c>
      <c r="I54" s="82">
        <f t="shared" si="0"/>
        <v>154445.47466872502</v>
      </c>
      <c r="K54" s="24"/>
      <c r="L54" s="24"/>
    </row>
    <row r="55" spans="1:13" x14ac:dyDescent="0.45">
      <c r="A55" s="24"/>
      <c r="B55" s="92" t="s">
        <v>297</v>
      </c>
      <c r="C55" s="123">
        <f>C49*$C$32</f>
        <v>363317.49</v>
      </c>
      <c r="D55" s="123">
        <f t="shared" ref="D55:H55" si="1">D49*$C$32</f>
        <v>401846.57999999996</v>
      </c>
      <c r="E55" s="123">
        <f t="shared" si="1"/>
        <v>447365.41199999995</v>
      </c>
      <c r="F55" s="123">
        <f t="shared" si="1"/>
        <v>452592.80999999994</v>
      </c>
      <c r="G55" s="123">
        <f t="shared" si="1"/>
        <v>554490.12599999993</v>
      </c>
      <c r="H55" s="123">
        <f t="shared" si="1"/>
        <v>625469.85</v>
      </c>
      <c r="I55" s="11"/>
      <c r="K55" s="24"/>
      <c r="L55" s="24"/>
    </row>
    <row r="56" spans="1:13" x14ac:dyDescent="0.45">
      <c r="A56" s="24"/>
      <c r="B56" s="2"/>
      <c r="C56" s="124"/>
      <c r="D56" s="78"/>
      <c r="E56" s="78"/>
      <c r="F56" s="78"/>
      <c r="G56" s="78"/>
      <c r="H56" s="78"/>
      <c r="I56" s="11"/>
      <c r="K56" s="24"/>
      <c r="L56" s="24"/>
    </row>
    <row r="57" spans="1:13" x14ac:dyDescent="0.45">
      <c r="A57" s="24"/>
      <c r="B57" s="75" t="s">
        <v>184</v>
      </c>
      <c r="C57" s="109"/>
      <c r="D57" s="109"/>
      <c r="E57" s="109"/>
      <c r="F57" s="109"/>
      <c r="G57" s="130"/>
      <c r="H57" s="130"/>
      <c r="I57" s="11"/>
      <c r="J57" s="182"/>
      <c r="K57" s="24"/>
    </row>
    <row r="58" spans="1:13" x14ac:dyDescent="0.45">
      <c r="A58" s="24"/>
      <c r="B58" s="170" t="s">
        <v>44</v>
      </c>
      <c r="C58" s="171" t="s">
        <v>43</v>
      </c>
      <c r="D58" s="171">
        <v>2021</v>
      </c>
      <c r="E58" s="171" t="s">
        <v>48</v>
      </c>
      <c r="F58" s="171" t="s">
        <v>39</v>
      </c>
      <c r="G58" s="90"/>
      <c r="I58" s="90"/>
      <c r="J58" s="24"/>
      <c r="K58" s="24"/>
    </row>
    <row r="59" spans="1:13" x14ac:dyDescent="0.45">
      <c r="A59" s="24"/>
      <c r="B59" s="22" t="s">
        <v>298</v>
      </c>
      <c r="C59" s="84">
        <f>C49*$C$31*$C$30/1000</f>
        <v>6611.1897217484839</v>
      </c>
      <c r="D59" s="84">
        <f>H49*$C$29/1000</f>
        <v>6602.1817499999997</v>
      </c>
      <c r="E59" s="94">
        <f>D59-C59</f>
        <v>-9.007971748484124</v>
      </c>
      <c r="F59" s="160">
        <f>IF(((D59/C59)^(1/5)-1)&lt;0,0,((D59/C59)^(1/5)-1))</f>
        <v>0</v>
      </c>
      <c r="G59" s="90"/>
      <c r="H59" s="90"/>
      <c r="J59" s="90"/>
      <c r="K59" s="24"/>
      <c r="L59" s="24"/>
    </row>
    <row r="60" spans="1:13" x14ac:dyDescent="0.45">
      <c r="A60" s="24"/>
      <c r="B60" s="22" t="s">
        <v>299</v>
      </c>
      <c r="C60" s="84">
        <f>C55*$C$31*$C$30/1000</f>
        <v>119.00141499147273</v>
      </c>
      <c r="D60" s="84">
        <f>H55*$C$29/1000</f>
        <v>118.83927150000001</v>
      </c>
      <c r="E60" s="94">
        <f>D60-C60</f>
        <v>-0.16214349147271889</v>
      </c>
      <c r="F60" s="163">
        <f>(D60/C60)^(1/5)-1</f>
        <v>-2.7265547088739517E-4</v>
      </c>
      <c r="G60" s="24"/>
      <c r="H60" s="24"/>
      <c r="I60" s="90"/>
      <c r="J60" s="14"/>
      <c r="M60" s="14"/>
    </row>
    <row r="61" spans="1:13" x14ac:dyDescent="0.45">
      <c r="A61" s="24"/>
      <c r="B61" t="s">
        <v>231</v>
      </c>
      <c r="C61" s="14">
        <f>C60/C59</f>
        <v>1.8000000000000002E-2</v>
      </c>
      <c r="D61" s="14">
        <f>D60/D59</f>
        <v>1.8000000000000002E-2</v>
      </c>
      <c r="E61" s="14"/>
      <c r="F61" s="14"/>
      <c r="G61" s="14"/>
      <c r="H61" s="14"/>
      <c r="I61" s="14"/>
      <c r="J61" s="14"/>
      <c r="M61" s="14"/>
    </row>
    <row r="62" spans="1:13" x14ac:dyDescent="0.45">
      <c r="A62" s="24"/>
      <c r="C62" s="14"/>
      <c r="D62" s="14"/>
      <c r="E62" s="14"/>
      <c r="F62" s="14"/>
      <c r="G62" s="14"/>
      <c r="H62" s="14"/>
      <c r="I62" s="14"/>
      <c r="J62" s="14"/>
      <c r="M62" s="14"/>
    </row>
    <row r="63" spans="1:13" x14ac:dyDescent="0.45">
      <c r="A63" s="24" t="s">
        <v>50</v>
      </c>
      <c r="B63" s="74" t="s">
        <v>786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1:13" x14ac:dyDescent="0.45">
      <c r="A64" s="24"/>
      <c r="B64" s="75" t="s">
        <v>783</v>
      </c>
      <c r="C64" s="127"/>
      <c r="D64" s="127"/>
      <c r="E64" s="127"/>
      <c r="F64" s="127"/>
      <c r="G64" s="127"/>
      <c r="H64" s="127"/>
      <c r="I64" s="124"/>
      <c r="J64" s="24"/>
      <c r="K64" s="24"/>
    </row>
    <row r="65" spans="1:13" x14ac:dyDescent="0.45">
      <c r="A65" s="24"/>
      <c r="B65" s="20" t="s">
        <v>44</v>
      </c>
      <c r="C65" s="25">
        <v>2016</v>
      </c>
      <c r="D65" s="25">
        <v>2017</v>
      </c>
      <c r="E65" s="25">
        <v>2018</v>
      </c>
      <c r="F65" s="25">
        <v>2019</v>
      </c>
      <c r="G65" s="25">
        <v>2020</v>
      </c>
      <c r="H65" s="25">
        <v>2021</v>
      </c>
      <c r="J65" s="183" t="s">
        <v>782</v>
      </c>
      <c r="K65" s="24"/>
    </row>
    <row r="66" spans="1:13" x14ac:dyDescent="0.45">
      <c r="A66" s="24"/>
      <c r="B66" s="80" t="s">
        <v>234</v>
      </c>
      <c r="C66" s="78">
        <f>VLOOKUP($B66,'Dados IBGE - VPB'!$A$4:$G$423,2,FALSE)</f>
        <v>51081794</v>
      </c>
      <c r="D66" s="78">
        <f>VLOOKUP($B66,'Dados IBGE - VPB'!$A$4:$G$423,3,FALSE)</f>
        <v>53475100</v>
      </c>
      <c r="E66" s="78">
        <f>VLOOKUP($B66,'Dados IBGE - VPB'!$A$4:$G$423,4,FALSE)</f>
        <v>61794042</v>
      </c>
      <c r="F66" s="78">
        <f>VLOOKUP($B66,'Dados IBGE - VPB'!$A$4:$G$423,5,FALSE)</f>
        <v>61740005</v>
      </c>
      <c r="G66" s="78">
        <f>VLOOKUP($B66,'Dados IBGE - VPB'!$A$4:$G$423,6,FALSE)</f>
        <v>70362824</v>
      </c>
      <c r="H66" s="78">
        <f>VLOOKUP($B66,'Dados IBGE - VPB'!$A$4:$G$423,7,FALSE)</f>
        <v>81540200</v>
      </c>
      <c r="K66" s="24"/>
    </row>
    <row r="67" spans="1:13" x14ac:dyDescent="0.45">
      <c r="A67" s="24"/>
      <c r="B67" s="92" t="s">
        <v>297</v>
      </c>
      <c r="C67" s="78">
        <f>$C$32*C66</f>
        <v>919472.2919999999</v>
      </c>
      <c r="D67" s="78">
        <f t="shared" ref="D67:H67" si="2">$C$32*D66</f>
        <v>962551.79999999993</v>
      </c>
      <c r="E67" s="78">
        <f t="shared" si="2"/>
        <v>1112292.7559999998</v>
      </c>
      <c r="F67" s="78">
        <f t="shared" si="2"/>
        <v>1111320.0899999999</v>
      </c>
      <c r="G67" s="78">
        <f t="shared" si="2"/>
        <v>1266530.8319999999</v>
      </c>
      <c r="H67" s="78">
        <f t="shared" si="2"/>
        <v>1467723.5999999999</v>
      </c>
      <c r="J67" s="11">
        <f>H67*$C$29/1000</f>
        <v>278.86748399999999</v>
      </c>
      <c r="K67" s="24"/>
    </row>
    <row r="68" spans="1:13" x14ac:dyDescent="0.45">
      <c r="A68" s="24"/>
      <c r="B68" s="109"/>
      <c r="C68" s="130">
        <f t="shared" ref="C68:H68" si="3">C67/C66</f>
        <v>1.7999999999999999E-2</v>
      </c>
      <c r="D68" s="130">
        <f t="shared" si="3"/>
        <v>1.7999999999999999E-2</v>
      </c>
      <c r="E68" s="130">
        <f t="shared" si="3"/>
        <v>1.7999999999999999E-2</v>
      </c>
      <c r="F68" s="130">
        <f t="shared" si="3"/>
        <v>1.7999999999999999E-2</v>
      </c>
      <c r="G68" s="130">
        <f t="shared" si="3"/>
        <v>1.7999999999999999E-2</v>
      </c>
      <c r="H68" s="130">
        <f t="shared" si="3"/>
        <v>1.7999999999999999E-2</v>
      </c>
      <c r="I68" s="11"/>
      <c r="J68" s="182">
        <f>SUM(J67:J67)</f>
        <v>278.86748399999999</v>
      </c>
      <c r="K68" s="24"/>
    </row>
    <row r="69" spans="1:13" x14ac:dyDescent="0.45">
      <c r="A69" s="24"/>
      <c r="C69" s="14"/>
      <c r="D69" s="14"/>
      <c r="E69" s="14"/>
      <c r="F69" s="14"/>
      <c r="G69" s="14"/>
      <c r="H69" s="14"/>
      <c r="I69" s="14"/>
      <c r="J69" s="14"/>
      <c r="M69" s="14"/>
    </row>
    <row r="70" spans="1:13" x14ac:dyDescent="0.45">
      <c r="A70" s="24" t="s">
        <v>784</v>
      </c>
      <c r="B70" s="21" t="s">
        <v>877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spans="1:13" x14ac:dyDescent="0.45">
      <c r="B71" s="73" t="s">
        <v>229</v>
      </c>
    </row>
    <row r="72" spans="1:13" x14ac:dyDescent="0.45">
      <c r="B72" s="73"/>
    </row>
    <row r="73" spans="1:13" x14ac:dyDescent="0.45">
      <c r="B73" t="s">
        <v>817</v>
      </c>
      <c r="C73">
        <f>2026-2021</f>
        <v>5</v>
      </c>
    </row>
    <row r="74" spans="1:13" x14ac:dyDescent="0.45">
      <c r="B74" t="s">
        <v>818</v>
      </c>
      <c r="C74">
        <f>2030-2026</f>
        <v>4</v>
      </c>
    </row>
    <row r="75" spans="1:13" x14ac:dyDescent="0.45">
      <c r="B75" s="73"/>
    </row>
    <row r="76" spans="1:13" x14ac:dyDescent="0.45">
      <c r="B76" s="1" t="s">
        <v>858</v>
      </c>
    </row>
    <row r="77" spans="1:13" x14ac:dyDescent="0.45">
      <c r="B77" s="270" t="s">
        <v>852</v>
      </c>
      <c r="C77" s="271"/>
      <c r="D77" s="271"/>
      <c r="E77" s="271"/>
    </row>
    <row r="78" spans="1:13" x14ac:dyDescent="0.45">
      <c r="B78" s="23" t="s">
        <v>862</v>
      </c>
      <c r="C78" s="85">
        <f>F59</f>
        <v>0</v>
      </c>
      <c r="D78" s="85"/>
    </row>
    <row r="79" spans="1:13" x14ac:dyDescent="0.45">
      <c r="B79" s="23" t="s">
        <v>863</v>
      </c>
      <c r="C79" s="87">
        <f>D60*((1+C78)^C73)</f>
        <v>118.83927150000001</v>
      </c>
      <c r="D79" s="98"/>
      <c r="E79" s="98"/>
    </row>
    <row r="80" spans="1:13" x14ac:dyDescent="0.45">
      <c r="B80" s="23" t="s">
        <v>864</v>
      </c>
      <c r="C80" s="178">
        <f>J68*((1+C78)^C73)</f>
        <v>278.86748399999999</v>
      </c>
      <c r="D80" s="85"/>
    </row>
    <row r="81" spans="2:5" x14ac:dyDescent="0.45">
      <c r="B81" s="23"/>
      <c r="C81" s="178"/>
      <c r="D81" s="85"/>
    </row>
    <row r="82" spans="2:5" x14ac:dyDescent="0.45">
      <c r="B82" s="1" t="s">
        <v>859</v>
      </c>
    </row>
    <row r="83" spans="2:5" x14ac:dyDescent="0.45">
      <c r="B83" s="270" t="s">
        <v>852</v>
      </c>
      <c r="C83" s="271"/>
      <c r="D83" s="271"/>
      <c r="E83" s="271"/>
    </row>
    <row r="84" spans="2:5" x14ac:dyDescent="0.45">
      <c r="B84" s="23" t="s">
        <v>862</v>
      </c>
      <c r="C84" s="85">
        <f>F59</f>
        <v>0</v>
      </c>
      <c r="D84" s="85"/>
    </row>
    <row r="85" spans="2:5" x14ac:dyDescent="0.45">
      <c r="B85" s="23" t="s">
        <v>880</v>
      </c>
      <c r="C85" s="87">
        <f>C79*((1+C84)^C74)</f>
        <v>118.83927150000001</v>
      </c>
      <c r="D85" s="98"/>
      <c r="E85" s="98"/>
    </row>
    <row r="86" spans="2:5" x14ac:dyDescent="0.45">
      <c r="B86" s="23" t="s">
        <v>881</v>
      </c>
      <c r="C86" s="178">
        <f>C80*((1+C84)^C74)</f>
        <v>278.86748399999999</v>
      </c>
      <c r="D86" s="85"/>
    </row>
    <row r="87" spans="2:5" x14ac:dyDescent="0.45">
      <c r="B87" s="23"/>
      <c r="C87" s="178"/>
      <c r="D87" s="85"/>
    </row>
    <row r="88" spans="2:5" x14ac:dyDescent="0.45">
      <c r="B88" s="1" t="s">
        <v>860</v>
      </c>
    </row>
    <row r="89" spans="2:5" x14ac:dyDescent="0.45">
      <c r="B89" s="270" t="s">
        <v>865</v>
      </c>
      <c r="C89" s="271"/>
      <c r="D89" s="271"/>
      <c r="E89" s="271"/>
    </row>
    <row r="90" spans="2:5" x14ac:dyDescent="0.45">
      <c r="B90" s="23" t="s">
        <v>866</v>
      </c>
      <c r="C90" s="144">
        <f>C78+C33</f>
        <v>1.8433425504031018E-2</v>
      </c>
      <c r="D90" s="85"/>
    </row>
    <row r="91" spans="2:5" ht="17" customHeight="1" x14ac:dyDescent="0.45">
      <c r="B91" s="23" t="s">
        <v>880</v>
      </c>
      <c r="C91" s="248">
        <f>C79*((1+C90)^C74)</f>
        <v>127.84700527471189</v>
      </c>
      <c r="D91" s="98"/>
      <c r="E91" s="98"/>
    </row>
    <row r="92" spans="2:5" ht="17" customHeight="1" x14ac:dyDescent="0.45">
      <c r="B92" s="23" t="s">
        <v>881</v>
      </c>
      <c r="C92" s="178">
        <f>C80*((1+C90)^C74)</f>
        <v>300.00497518948214</v>
      </c>
      <c r="D92" s="85"/>
    </row>
    <row r="93" spans="2:5" ht="17" customHeight="1" x14ac:dyDescent="0.45"/>
    <row r="94" spans="2:5" ht="17" customHeight="1" x14ac:dyDescent="0.45">
      <c r="B94" s="274" t="s">
        <v>849</v>
      </c>
      <c r="C94" s="274" t="str">
        <f>C36</f>
        <v>produto disruptivo</v>
      </c>
    </row>
    <row r="95" spans="2:5" ht="17" customHeight="1" x14ac:dyDescent="0.45"/>
    <row r="96" spans="2:5" x14ac:dyDescent="0.45">
      <c r="B96" s="1" t="s">
        <v>861</v>
      </c>
    </row>
    <row r="97" spans="2:5" x14ac:dyDescent="0.45">
      <c r="B97" s="270" t="s">
        <v>882</v>
      </c>
      <c r="C97" s="271"/>
      <c r="D97" s="271"/>
      <c r="E97" s="271"/>
    </row>
    <row r="98" spans="2:5" ht="17" customHeight="1" x14ac:dyDescent="0.45">
      <c r="B98" s="23" t="s">
        <v>867</v>
      </c>
      <c r="C98" s="144">
        <f>IF(AND((C94="produto disruptivo"),(C35&gt;(C78+C34))),C35,(C78+C34))</f>
        <v>7.1999999999999995E-2</v>
      </c>
      <c r="D98" s="85"/>
    </row>
    <row r="99" spans="2:5" ht="17" customHeight="1" x14ac:dyDescent="0.45">
      <c r="B99" s="23" t="s">
        <v>880</v>
      </c>
      <c r="C99" s="248">
        <f>C79*((1+C98)^C74)</f>
        <v>156.94197814384086</v>
      </c>
      <c r="D99" s="85"/>
    </row>
    <row r="100" spans="2:5" ht="17" customHeight="1" x14ac:dyDescent="0.45">
      <c r="B100" s="23" t="s">
        <v>881</v>
      </c>
      <c r="C100" s="178">
        <f>C80*((1+C98)^C74)</f>
        <v>368.27905478161637</v>
      </c>
      <c r="D100" s="8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5283-E976-4200-9101-C5BEC0D5F7C1}">
  <dimension ref="A1:N102"/>
  <sheetViews>
    <sheetView showGridLines="0" zoomScale="84" zoomScaleNormal="84" workbookViewId="0"/>
  </sheetViews>
  <sheetFormatPr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7" width="13.86328125" customWidth="1"/>
    <col min="8" max="8" width="14.6640625" customWidth="1"/>
    <col min="9" max="9" width="13.6640625" bestFit="1" customWidth="1"/>
    <col min="10" max="10" width="17" customWidth="1"/>
    <col min="11" max="11" width="16.53125" customWidth="1"/>
    <col min="12" max="12" width="15.1328125" customWidth="1"/>
    <col min="13" max="13" width="11.33203125" customWidth="1"/>
    <col min="14" max="14" width="12.6640625" customWidth="1"/>
  </cols>
  <sheetData>
    <row r="1" spans="1:14" s="69" customFormat="1" ht="22.25" customHeight="1" thickBot="1" x14ac:dyDescent="0.6">
      <c r="A1" s="70" t="s">
        <v>759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C80</f>
        <v>0</v>
      </c>
      <c r="F5" s="122"/>
      <c r="G5" s="122"/>
      <c r="H5" s="315" t="s">
        <v>908</v>
      </c>
      <c r="I5" s="323" t="str">
        <f>Output_Etapa1!$B$12</f>
        <v>Fármacos</v>
      </c>
      <c r="J5" s="324">
        <f>E5+INDEX(Output_Etapa1!$B$5:$R$14,MATCH(I5,Output_Etapa1!$B$5:$B$14,0),MATCH(H5,Output_Etapa1!$B$5:$R$5,0))</f>
        <v>5.0943591047324377E-2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C81</f>
        <v>6376.94416</v>
      </c>
      <c r="F6" s="122"/>
      <c r="G6" s="122"/>
      <c r="H6" s="321" t="s">
        <v>897</v>
      </c>
      <c r="I6" s="321"/>
      <c r="J6" s="284">
        <f>E6*((1+$J$5)^4)</f>
        <v>7779.1158351094882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C82</f>
        <v>14803.573929999999</v>
      </c>
      <c r="F7" s="122"/>
      <c r="G7" s="122"/>
      <c r="H7" s="322" t="s">
        <v>874</v>
      </c>
      <c r="I7" s="322"/>
      <c r="J7" s="284">
        <f>E7*((1+$J$5)^4)</f>
        <v>18058.605107038758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9029.5988484987192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C86</f>
        <v>0</v>
      </c>
      <c r="F9" s="122"/>
      <c r="G9" s="122"/>
      <c r="H9" s="322" t="s">
        <v>904</v>
      </c>
      <c r="I9" s="322"/>
      <c r="J9" s="283">
        <f>E7*((1+$J$5)^7)</f>
        <v>20961.502995502731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C87</f>
        <v>6376.94416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C88</f>
        <v>14803.573929999999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6376.94416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14803.573929999999</v>
      </c>
      <c r="F13" s="122"/>
      <c r="G13" s="122"/>
      <c r="H13" s="315" t="s">
        <v>909</v>
      </c>
      <c r="I13" s="323" t="str">
        <f>Output_Etapa1!$B$12</f>
        <v>Fármacos</v>
      </c>
      <c r="J13" s="324">
        <f>E5+INDEX(Output_Etapa1!$B$5:$R$14,MATCH(I13,Output_Etapa1!$B$5:$B$14,0),MATCH(H13,Output_Etapa1!$B$5:$R$5,0))</f>
        <v>0.20202985589177747</v>
      </c>
      <c r="K13" s="122"/>
      <c r="L13" s="315" t="s">
        <v>997</v>
      </c>
      <c r="M13" s="323" t="str">
        <f>Output_Etapa1!$B$12</f>
        <v>Fármacos</v>
      </c>
      <c r="N13" s="324">
        <f>INDEX(Output_Etapa1!$B$5:$R$14,MATCH(M13,Output_Etapa1!$B$5:$B$14,0),MATCH(L13,Output_Etapa1!$B$5:$R$5,0))</f>
        <v>0.16119199506367798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13312.929529735608</v>
      </c>
      <c r="K14" s="122"/>
      <c r="L14" s="321" t="s">
        <v>897</v>
      </c>
      <c r="M14" s="321"/>
      <c r="N14" s="284">
        <f>E6*((1+$N$13)^4)</f>
        <v>11593.878562574055</v>
      </c>
    </row>
    <row r="15" spans="1:14" x14ac:dyDescent="0.45">
      <c r="B15" s="168" t="s">
        <v>747</v>
      </c>
      <c r="C15" s="168"/>
      <c r="D15" s="6" t="s">
        <v>39</v>
      </c>
      <c r="E15" s="169">
        <f>C92</f>
        <v>1.8433425504031018E-2</v>
      </c>
      <c r="F15" s="122"/>
      <c r="G15" s="122"/>
      <c r="H15" s="322" t="s">
        <v>874</v>
      </c>
      <c r="I15" s="322"/>
      <c r="J15" s="284">
        <f>E7*((1+$J$13)^4)</f>
        <v>30904.918025551786</v>
      </c>
      <c r="K15" s="122"/>
      <c r="L15" s="322" t="s">
        <v>874</v>
      </c>
      <c r="M15" s="322"/>
      <c r="N15" s="284">
        <f>E7*((1+$N$13)^4)</f>
        <v>26914.276513988971</v>
      </c>
    </row>
    <row r="16" spans="1:14" x14ac:dyDescent="0.45">
      <c r="B16" s="21" t="s">
        <v>232</v>
      </c>
      <c r="C16" s="21"/>
      <c r="D16" s="97"/>
      <c r="E16" s="284">
        <f>C93</f>
        <v>6860.3013412116306</v>
      </c>
      <c r="F16" s="122"/>
      <c r="G16" s="122"/>
      <c r="H16" s="322" t="s">
        <v>903</v>
      </c>
      <c r="I16" s="322"/>
      <c r="J16" s="283">
        <f>E6*((1+$J$13)^7)</f>
        <v>23121.68059006528</v>
      </c>
      <c r="K16" s="122"/>
      <c r="L16" s="322" t="s">
        <v>903</v>
      </c>
      <c r="M16" s="322"/>
      <c r="N16" s="283">
        <f>E6*((1+$N$13)^7)</f>
        <v>18152.683973533844</v>
      </c>
    </row>
    <row r="17" spans="1:14" x14ac:dyDescent="0.45">
      <c r="B17" s="21" t="s">
        <v>874</v>
      </c>
      <c r="C17" s="21"/>
      <c r="D17" s="21"/>
      <c r="E17" s="283">
        <f>C94</f>
        <v>15925.649580520167</v>
      </c>
      <c r="F17" s="122"/>
      <c r="G17" s="122"/>
      <c r="H17" s="322" t="s">
        <v>904</v>
      </c>
      <c r="I17" s="322"/>
      <c r="J17" s="283">
        <f>E7*((1+$J$13)^7)</f>
        <v>53675.161552751844</v>
      </c>
      <c r="K17" s="122"/>
      <c r="L17" s="322" t="s">
        <v>904</v>
      </c>
      <c r="M17" s="322"/>
      <c r="N17" s="283">
        <f>E7*((1+$N$13)^7)</f>
        <v>42140.0270235602</v>
      </c>
    </row>
    <row r="18" spans="1:14" x14ac:dyDescent="0.45">
      <c r="B18" s="21" t="s">
        <v>903</v>
      </c>
      <c r="C18" s="21"/>
      <c r="D18" s="21"/>
      <c r="E18" s="283">
        <f>$E$6*((1+$E$15)^7)</f>
        <v>7246.7140815169896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16822.676342097497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C100</f>
        <v>3.9298349258148527E-2</v>
      </c>
      <c r="F21" s="122"/>
      <c r="G21" s="122"/>
      <c r="H21" s="315" t="s">
        <v>910</v>
      </c>
      <c r="I21" s="323" t="str">
        <f>Output_Etapa1!$B$12</f>
        <v>Fármacos</v>
      </c>
      <c r="J21" s="324">
        <f>E5+INDEX(Output_Etapa1!$B$5:$R$14,MATCH(I21,Output_Etapa1!$B$5:$B$14,0),MATCH(H21,Output_Etapa1!$B$5:$R$5,0))</f>
        <v>9.7561532037185872E-3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C101</f>
        <v>7440.0107667426146</v>
      </c>
      <c r="F22" s="122"/>
      <c r="G22" s="122"/>
      <c r="H22" s="321" t="s">
        <v>897</v>
      </c>
      <c r="I22" s="321"/>
      <c r="J22" s="284">
        <f>E6*((1+$J$21)^4)</f>
        <v>6629.4675233653916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3">
        <f>C102</f>
        <v>17271.399382219191</v>
      </c>
      <c r="F23" s="122"/>
      <c r="G23" s="122"/>
      <c r="H23" s="322" t="s">
        <v>874</v>
      </c>
      <c r="I23" s="322"/>
      <c r="J23" s="284">
        <f>E7*((1+$J$21)^4)</f>
        <v>15389.787041615489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8352.0729025617238</v>
      </c>
      <c r="F24" s="122"/>
      <c r="G24" s="122"/>
      <c r="H24" s="322" t="s">
        <v>903</v>
      </c>
      <c r="I24" s="322"/>
      <c r="J24" s="283">
        <f>E6*((1+$J$21)^7)</f>
        <v>6825.4010104229365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19388.679840944718</v>
      </c>
      <c r="F25" s="122"/>
      <c r="G25" s="122"/>
      <c r="H25" s="322" t="s">
        <v>904</v>
      </c>
      <c r="I25" s="322"/>
      <c r="J25" s="283">
        <f>E7*((1+$J$21)^7)</f>
        <v>15844.631209643934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ht="28.5" x14ac:dyDescent="0.45">
      <c r="A32" s="24"/>
      <c r="B32" s="117" t="s">
        <v>883</v>
      </c>
      <c r="C32" s="161">
        <f>'Cenario B benchmark va'!C11</f>
        <v>1.8433425504031018E-2</v>
      </c>
    </row>
    <row r="33" spans="1:12" ht="28.5" x14ac:dyDescent="0.45">
      <c r="A33" s="24"/>
      <c r="B33" s="117" t="s">
        <v>884</v>
      </c>
      <c r="C33" s="161">
        <f>'Cenario B benchmark va'!D11</f>
        <v>3.9298349258148527E-2</v>
      </c>
    </row>
    <row r="34" spans="1:12" x14ac:dyDescent="0.45">
      <c r="A34" s="24"/>
      <c r="B34" s="116" t="s">
        <v>756</v>
      </c>
      <c r="C34" s="115">
        <v>0.1</v>
      </c>
    </row>
    <row r="35" spans="1:12" x14ac:dyDescent="0.45">
      <c r="A35" s="24"/>
      <c r="B35" s="116" t="s">
        <v>745</v>
      </c>
      <c r="C35" s="164" t="str">
        <f>IF(D61&lt;3%,"produto disruptivo", "produto representativo")</f>
        <v>produto representativo</v>
      </c>
      <c r="E35" s="166" t="s">
        <v>1004</v>
      </c>
    </row>
    <row r="36" spans="1:12" x14ac:dyDescent="0.45">
      <c r="A36" s="24"/>
      <c r="E36" s="365"/>
    </row>
    <row r="37" spans="1:12" x14ac:dyDescent="0.45">
      <c r="A37" s="24"/>
      <c r="B37" s="76" t="s">
        <v>832</v>
      </c>
      <c r="C37" s="7" t="s">
        <v>750</v>
      </c>
      <c r="D37" s="7"/>
      <c r="E37" s="7"/>
      <c r="F37" s="7"/>
      <c r="G37" s="7"/>
    </row>
    <row r="38" spans="1:12" x14ac:dyDescent="0.45">
      <c r="A38" s="24"/>
    </row>
    <row r="39" spans="1:12" x14ac:dyDescent="0.45">
      <c r="A39" s="24"/>
      <c r="B39" s="167" t="s">
        <v>747</v>
      </c>
      <c r="C39" s="6" t="s">
        <v>748</v>
      </c>
      <c r="D39" s="6"/>
      <c r="E39" s="6"/>
      <c r="F39" s="6"/>
      <c r="G39" s="6"/>
    </row>
    <row r="40" spans="1:12" x14ac:dyDescent="0.45">
      <c r="A40" s="24"/>
      <c r="B40" s="23"/>
      <c r="C40" s="23"/>
      <c r="D40" s="23"/>
      <c r="E40" s="23"/>
      <c r="F40" s="23"/>
      <c r="G40" s="23"/>
    </row>
    <row r="41" spans="1:12" ht="14" customHeight="1" x14ac:dyDescent="0.45">
      <c r="A41" s="24"/>
      <c r="B41" s="89" t="s">
        <v>185</v>
      </c>
      <c r="C41" s="5" t="s">
        <v>749</v>
      </c>
      <c r="D41" s="5"/>
      <c r="E41" s="5"/>
      <c r="F41" s="5"/>
      <c r="G41" s="5"/>
    </row>
    <row r="42" spans="1:12" ht="14" customHeight="1" x14ac:dyDescent="0.45">
      <c r="A42" s="24"/>
      <c r="B42" s="23"/>
      <c r="C42" s="165"/>
      <c r="D42" s="23"/>
      <c r="E42" s="23"/>
      <c r="F42" s="23"/>
      <c r="G42" s="23"/>
    </row>
    <row r="43" spans="1:12" ht="14" customHeight="1" x14ac:dyDescent="0.45">
      <c r="A43" s="24"/>
      <c r="B43" s="166" t="s">
        <v>746</v>
      </c>
      <c r="C43" s="165"/>
      <c r="D43" s="23"/>
      <c r="E43" s="23"/>
      <c r="F43" s="23"/>
      <c r="G43" s="23"/>
    </row>
    <row r="44" spans="1:12" x14ac:dyDescent="0.45">
      <c r="A44" s="24"/>
    </row>
    <row r="45" spans="1:12" x14ac:dyDescent="0.45">
      <c r="A45" s="24" t="s">
        <v>49</v>
      </c>
      <c r="B45" s="74" t="s">
        <v>230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45">
      <c r="A46" s="24"/>
      <c r="B46" s="75" t="s">
        <v>228</v>
      </c>
      <c r="C46" s="24"/>
      <c r="D46" s="24"/>
      <c r="E46" s="24"/>
      <c r="F46" s="24"/>
      <c r="G46" s="24"/>
      <c r="H46" s="24"/>
      <c r="I46" s="24"/>
      <c r="J46" s="24"/>
      <c r="K46" s="24"/>
    </row>
    <row r="47" spans="1:12" x14ac:dyDescent="0.45">
      <c r="A47" s="24"/>
      <c r="B47" s="20" t="s">
        <v>44</v>
      </c>
      <c r="C47" s="25">
        <v>2016</v>
      </c>
      <c r="D47" s="25">
        <v>2017</v>
      </c>
      <c r="E47" s="25">
        <v>2018</v>
      </c>
      <c r="F47" s="25">
        <v>2019</v>
      </c>
      <c r="G47" s="25">
        <v>2020</v>
      </c>
      <c r="H47" s="25">
        <v>2021</v>
      </c>
      <c r="I47" s="25" t="s">
        <v>43</v>
      </c>
      <c r="J47" s="24"/>
      <c r="K47" s="24"/>
    </row>
    <row r="48" spans="1:12" x14ac:dyDescent="0.45">
      <c r="A48" s="24"/>
      <c r="B48" s="80" t="s">
        <v>234</v>
      </c>
      <c r="C48" s="81">
        <v>20184305</v>
      </c>
      <c r="D48" s="81">
        <v>22324810</v>
      </c>
      <c r="E48" s="81">
        <v>24853634</v>
      </c>
      <c r="F48" s="81">
        <v>25144045</v>
      </c>
      <c r="G48" s="81">
        <v>30805007</v>
      </c>
      <c r="H48" s="81">
        <v>34748325</v>
      </c>
      <c r="I48" s="83">
        <f>C48*$C$28</f>
        <v>27496379.827679358</v>
      </c>
      <c r="J48" s="24"/>
      <c r="K48" s="24"/>
    </row>
    <row r="49" spans="1:13" x14ac:dyDescent="0.45">
      <c r="A49" s="24"/>
      <c r="B49" s="99" t="s">
        <v>235</v>
      </c>
      <c r="C49" s="100">
        <v>156624</v>
      </c>
      <c r="D49" s="100">
        <v>222081</v>
      </c>
      <c r="E49" s="100">
        <v>385190</v>
      </c>
      <c r="F49" s="100">
        <v>484485</v>
      </c>
      <c r="G49" s="100">
        <v>761153</v>
      </c>
      <c r="H49" s="100">
        <v>975974</v>
      </c>
      <c r="I49" s="82">
        <f>C49*$C$28</f>
        <v>213363.45215405989</v>
      </c>
      <c r="J49" s="24"/>
      <c r="K49" s="24"/>
    </row>
    <row r="50" spans="1:13" x14ac:dyDescent="0.45">
      <c r="A50" s="24"/>
      <c r="B50" s="3" t="s">
        <v>237</v>
      </c>
      <c r="C50" s="79">
        <v>20027681</v>
      </c>
      <c r="D50" s="79">
        <v>22102729</v>
      </c>
      <c r="E50" s="79">
        <v>24468444</v>
      </c>
      <c r="F50" s="79">
        <v>24659560</v>
      </c>
      <c r="G50" s="79">
        <v>30043854</v>
      </c>
      <c r="H50" s="79">
        <v>33772351</v>
      </c>
      <c r="I50" s="82">
        <f t="shared" ref="I50:I55" si="0">C50*$C$28</f>
        <v>27283016.375525299</v>
      </c>
      <c r="J50" s="24"/>
      <c r="K50" s="24"/>
    </row>
    <row r="51" spans="1:13" x14ac:dyDescent="0.45">
      <c r="A51" s="24"/>
      <c r="B51" s="99" t="s">
        <v>238</v>
      </c>
      <c r="C51" s="100">
        <v>18428643</v>
      </c>
      <c r="D51" s="100">
        <v>20503825</v>
      </c>
      <c r="E51" s="100">
        <v>22342421</v>
      </c>
      <c r="F51" s="100">
        <v>22777495</v>
      </c>
      <c r="G51" s="100">
        <v>27893100</v>
      </c>
      <c r="H51" s="100">
        <v>31189768</v>
      </c>
      <c r="I51" s="82">
        <f t="shared" si="0"/>
        <v>25104702.274202872</v>
      </c>
      <c r="J51" s="24"/>
      <c r="K51" s="24"/>
    </row>
    <row r="52" spans="1:13" x14ac:dyDescent="0.45">
      <c r="A52" s="24"/>
      <c r="B52" s="99" t="s">
        <v>239</v>
      </c>
      <c r="C52" s="100">
        <v>1485664</v>
      </c>
      <c r="D52" s="100">
        <v>1474160</v>
      </c>
      <c r="E52" s="100">
        <v>1999154</v>
      </c>
      <c r="F52" s="100">
        <v>1720027</v>
      </c>
      <c r="G52" s="100">
        <v>1947793</v>
      </c>
      <c r="H52" s="100">
        <v>2373096</v>
      </c>
      <c r="I52" s="82">
        <f t="shared" si="0"/>
        <v>2023868.6266537008</v>
      </c>
      <c r="J52" s="24"/>
      <c r="K52" s="24"/>
    </row>
    <row r="53" spans="1:13" x14ac:dyDescent="0.45">
      <c r="A53" s="24"/>
      <c r="B53" s="3" t="s">
        <v>240</v>
      </c>
      <c r="C53" s="79">
        <v>113374</v>
      </c>
      <c r="D53" s="79">
        <v>124744</v>
      </c>
      <c r="E53" s="79">
        <v>126869</v>
      </c>
      <c r="F53" s="79">
        <v>162038</v>
      </c>
      <c r="G53" s="79">
        <v>202961</v>
      </c>
      <c r="H53" s="79">
        <v>209487</v>
      </c>
      <c r="I53" s="82">
        <f t="shared" si="0"/>
        <v>154445.47466872502</v>
      </c>
      <c r="J53" s="24"/>
      <c r="K53" s="24"/>
    </row>
    <row r="54" spans="1:13" x14ac:dyDescent="0.45">
      <c r="A54" s="24"/>
      <c r="B54" s="22" t="s">
        <v>241</v>
      </c>
      <c r="C54" s="83">
        <f>C48</f>
        <v>20184305</v>
      </c>
      <c r="D54" s="83">
        <f t="shared" ref="D54:H54" si="1">D48</f>
        <v>22324810</v>
      </c>
      <c r="E54" s="83">
        <f t="shared" si="1"/>
        <v>24853634</v>
      </c>
      <c r="F54" s="83">
        <f t="shared" si="1"/>
        <v>25144045</v>
      </c>
      <c r="G54" s="83">
        <f t="shared" si="1"/>
        <v>30805007</v>
      </c>
      <c r="H54" s="83">
        <f t="shared" si="1"/>
        <v>34748325</v>
      </c>
      <c r="I54" s="82">
        <f t="shared" si="0"/>
        <v>27496379.827679358</v>
      </c>
      <c r="J54" s="24"/>
      <c r="K54" s="24"/>
    </row>
    <row r="55" spans="1:13" x14ac:dyDescent="0.45">
      <c r="A55" s="24"/>
      <c r="B55" s="22" t="s">
        <v>242</v>
      </c>
      <c r="C55" s="83">
        <f>SUM(C51:C52)</f>
        <v>19914307</v>
      </c>
      <c r="D55" s="83">
        <f t="shared" ref="D55:H55" si="2">SUM(D51:D52)</f>
        <v>21977985</v>
      </c>
      <c r="E55" s="83">
        <f t="shared" si="2"/>
        <v>24341575</v>
      </c>
      <c r="F55" s="83">
        <f t="shared" si="2"/>
        <v>24497522</v>
      </c>
      <c r="G55" s="83">
        <f t="shared" si="2"/>
        <v>29840893</v>
      </c>
      <c r="H55" s="83">
        <f t="shared" si="2"/>
        <v>33562864</v>
      </c>
      <c r="I55" s="82">
        <f t="shared" si="0"/>
        <v>27128570.900856573</v>
      </c>
      <c r="J55" s="24"/>
      <c r="K55" s="24"/>
    </row>
    <row r="56" spans="1:13" x14ac:dyDescent="0.45">
      <c r="A56" s="24"/>
      <c r="B56" s="23"/>
      <c r="C56" s="87"/>
      <c r="D56" s="87"/>
      <c r="E56" s="87"/>
      <c r="F56" s="87"/>
      <c r="G56" s="87"/>
      <c r="H56" s="87"/>
      <c r="I56" s="11"/>
      <c r="J56" s="24"/>
      <c r="K56" s="24"/>
    </row>
    <row r="57" spans="1:13" x14ac:dyDescent="0.45">
      <c r="A57" s="24"/>
      <c r="B57" s="75" t="s">
        <v>184</v>
      </c>
      <c r="C57" s="24"/>
      <c r="D57" s="24"/>
      <c r="E57" s="24"/>
      <c r="F57" s="24"/>
      <c r="G57" s="90"/>
      <c r="H57" s="90"/>
      <c r="I57" s="90"/>
      <c r="J57" s="24"/>
      <c r="K57" s="24"/>
    </row>
    <row r="58" spans="1:13" x14ac:dyDescent="0.45">
      <c r="A58" s="24"/>
      <c r="B58" s="170" t="s">
        <v>44</v>
      </c>
      <c r="C58" s="171" t="s">
        <v>43</v>
      </c>
      <c r="D58" s="171">
        <v>2021</v>
      </c>
      <c r="E58" s="171" t="s">
        <v>48</v>
      </c>
      <c r="F58" s="171" t="s">
        <v>39</v>
      </c>
      <c r="G58" s="90"/>
      <c r="I58" s="90"/>
      <c r="J58" s="24"/>
      <c r="K58" s="24"/>
    </row>
    <row r="59" spans="1:13" x14ac:dyDescent="0.45">
      <c r="A59" s="24"/>
      <c r="B59" s="102" t="s">
        <v>241</v>
      </c>
      <c r="C59" s="84">
        <f>C54*$C$31*$C$30/1000</f>
        <v>6611.1897217484839</v>
      </c>
      <c r="D59" s="84">
        <f>H54*$C$29/1000</f>
        <v>6602.1817499999997</v>
      </c>
      <c r="E59" s="94">
        <f>D59-C59</f>
        <v>-9.007971748484124</v>
      </c>
      <c r="F59" s="160">
        <f>IF(((D59/C59)^(1/5)-1)&lt;0,0,((D59/C59)^(1/5)-1))</f>
        <v>0</v>
      </c>
      <c r="G59" s="90"/>
      <c r="I59" s="90"/>
      <c r="J59" s="24"/>
      <c r="K59" s="24"/>
    </row>
    <row r="60" spans="1:13" x14ac:dyDescent="0.45">
      <c r="A60" s="24"/>
      <c r="B60" t="s">
        <v>242</v>
      </c>
      <c r="C60" s="84">
        <f>SUM(C55)*$C$31*$C$30/1000</f>
        <v>6522.7542763619504</v>
      </c>
      <c r="D60" s="84">
        <f>(SUM(H55)*$C$29/1000)</f>
        <v>6376.94416</v>
      </c>
      <c r="E60" s="94">
        <f>D60-C60</f>
        <v>-145.81011636195035</v>
      </c>
      <c r="F60" s="162">
        <f>(D60/C60)^(1/5)-1</f>
        <v>-4.5113354047064957E-3</v>
      </c>
      <c r="G60" s="24"/>
      <c r="H60" s="90"/>
      <c r="I60" s="14"/>
      <c r="L60" s="14"/>
    </row>
    <row r="61" spans="1:13" x14ac:dyDescent="0.45">
      <c r="A61" s="24"/>
      <c r="B61" t="s">
        <v>231</v>
      </c>
      <c r="C61" s="14">
        <f>C60/C59</f>
        <v>0.98662336899883363</v>
      </c>
      <c r="D61" s="14">
        <f>D60/D59</f>
        <v>0.96588436996603433</v>
      </c>
      <c r="E61" s="14"/>
      <c r="F61" s="14"/>
      <c r="G61" s="14"/>
      <c r="H61" s="14"/>
      <c r="I61" s="14"/>
      <c r="L61" s="14"/>
    </row>
    <row r="62" spans="1:13" x14ac:dyDescent="0.45">
      <c r="A62" s="24"/>
      <c r="B62" s="126" t="s">
        <v>675</v>
      </c>
      <c r="C62" s="127"/>
      <c r="D62" s="127"/>
      <c r="E62" s="127"/>
      <c r="F62" s="127"/>
      <c r="G62" s="127"/>
      <c r="H62" s="127"/>
      <c r="I62" s="124"/>
      <c r="J62" s="24"/>
      <c r="K62" s="24"/>
    </row>
    <row r="63" spans="1:13" x14ac:dyDescent="0.45">
      <c r="A63" s="24"/>
      <c r="B63" s="126"/>
      <c r="C63" s="127"/>
      <c r="D63" s="127"/>
      <c r="E63" s="127"/>
      <c r="F63" s="127"/>
      <c r="G63" s="127"/>
      <c r="H63" s="127"/>
      <c r="I63" s="124"/>
      <c r="J63" s="24"/>
      <c r="K63" s="24"/>
    </row>
    <row r="64" spans="1:13" x14ac:dyDescent="0.45">
      <c r="A64" s="24" t="s">
        <v>50</v>
      </c>
      <c r="B64" s="74" t="s">
        <v>786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45">
      <c r="A65" s="24"/>
      <c r="B65" s="75" t="s">
        <v>783</v>
      </c>
      <c r="C65" s="127"/>
      <c r="D65" s="127"/>
      <c r="E65" s="127"/>
      <c r="F65" s="127"/>
      <c r="G65" s="127"/>
      <c r="H65" s="127"/>
      <c r="I65" s="124"/>
      <c r="J65" s="24"/>
      <c r="K65" s="24"/>
    </row>
    <row r="66" spans="1:13" x14ac:dyDescent="0.45">
      <c r="A66" s="24"/>
      <c r="B66" s="20" t="s">
        <v>44</v>
      </c>
      <c r="C66" s="25">
        <v>2016</v>
      </c>
      <c r="D66" s="25">
        <v>2017</v>
      </c>
      <c r="E66" s="25">
        <v>2018</v>
      </c>
      <c r="F66" s="25">
        <v>2019</v>
      </c>
      <c r="G66" s="25">
        <v>2020</v>
      </c>
      <c r="H66" s="25">
        <v>2021</v>
      </c>
      <c r="J66" s="183" t="s">
        <v>782</v>
      </c>
      <c r="K66" s="24"/>
    </row>
    <row r="67" spans="1:13" x14ac:dyDescent="0.45">
      <c r="A67" s="24"/>
      <c r="B67" s="80" t="s">
        <v>234</v>
      </c>
      <c r="C67" s="78">
        <f>VLOOKUP($B67,'Dados IBGE - VPB'!$A$4:$G$423,2,FALSE)</f>
        <v>51081794</v>
      </c>
      <c r="D67" s="78">
        <f>VLOOKUP($B67,'Dados IBGE - VPB'!$A$4:$G$423,3,FALSE)</f>
        <v>53475100</v>
      </c>
      <c r="E67" s="78">
        <f>VLOOKUP($B67,'Dados IBGE - VPB'!$A$4:$G$423,4,FALSE)</f>
        <v>61794042</v>
      </c>
      <c r="F67" s="78">
        <f>VLOOKUP($B67,'Dados IBGE - VPB'!$A$4:$G$423,5,FALSE)</f>
        <v>61740005</v>
      </c>
      <c r="G67" s="78">
        <f>VLOOKUP($B67,'Dados IBGE - VPB'!$A$4:$G$423,6,FALSE)</f>
        <v>70362824</v>
      </c>
      <c r="H67" s="78">
        <f>VLOOKUP($B67,'Dados IBGE - VPB'!$A$4:$G$423,7,FALSE)</f>
        <v>81540200</v>
      </c>
      <c r="K67" s="24"/>
    </row>
    <row r="68" spans="1:13" x14ac:dyDescent="0.45">
      <c r="A68" s="24"/>
      <c r="B68" s="99" t="s">
        <v>238</v>
      </c>
      <c r="C68" s="78">
        <f>VLOOKUP($B68,'Dados IBGE - VPB'!$A$4:$G$423,2,FALSE)</f>
        <v>45757364</v>
      </c>
      <c r="D68" s="78">
        <f>VLOOKUP($B68,'Dados IBGE - VPB'!$A$4:$G$423,3,FALSE)</f>
        <v>48138361</v>
      </c>
      <c r="E68" s="78">
        <f>VLOOKUP($B68,'Dados IBGE - VPB'!$A$4:$G$423,4,FALSE)</f>
        <v>54286304</v>
      </c>
      <c r="F68" s="78">
        <f>VLOOKUP($B68,'Dados IBGE - VPB'!$A$4:$G$423,5,FALSE)</f>
        <v>53906291</v>
      </c>
      <c r="G68" s="78">
        <f>VLOOKUP($B68,'Dados IBGE - VPB'!$A$4:$G$423,6,FALSE)</f>
        <v>61808862</v>
      </c>
      <c r="H68" s="78">
        <f>VLOOKUP($B68,'Dados IBGE - VPB'!$A$4:$G$423,7,FALSE)</f>
        <v>70677105</v>
      </c>
      <c r="J68" s="11">
        <f>H68*$C$29/1000</f>
        <v>13428.649949999999</v>
      </c>
      <c r="K68" s="24"/>
    </row>
    <row r="69" spans="1:13" x14ac:dyDescent="0.45">
      <c r="A69" s="24"/>
      <c r="B69" s="99" t="s">
        <v>239</v>
      </c>
      <c r="C69" s="78">
        <f>VLOOKUP($B69,'Dados IBGE - VPB'!$A$4:$G$423,2,FALSE)</f>
        <v>4497054</v>
      </c>
      <c r="D69" s="78">
        <f>VLOOKUP($B69,'Dados IBGE - VPB'!$A$4:$G$423,3,FALSE)</f>
        <v>4428220</v>
      </c>
      <c r="E69" s="78">
        <f>VLOOKUP($B69,'Dados IBGE - VPB'!$A$4:$G$423,4,FALSE)</f>
        <v>5594197</v>
      </c>
      <c r="F69" s="78">
        <f>VLOOKUP($B69,'Dados IBGE - VPB'!$A$4:$G$423,5,FALSE)</f>
        <v>5621885</v>
      </c>
      <c r="G69" s="78">
        <f>VLOOKUP($B69,'Dados IBGE - VPB'!$A$4:$G$423,6,FALSE)</f>
        <v>5605864</v>
      </c>
      <c r="H69" s="78">
        <f>VLOOKUP($B69,'Dados IBGE - VPB'!$A$4:$G$423,7,FALSE)</f>
        <v>7236442</v>
      </c>
      <c r="J69" s="11">
        <f>H69*$C$29/1000</f>
        <v>1374.92398</v>
      </c>
      <c r="K69" s="24"/>
    </row>
    <row r="70" spans="1:13" x14ac:dyDescent="0.45">
      <c r="A70" s="24"/>
      <c r="B70" s="109"/>
      <c r="C70" s="130">
        <f>C69/C67</f>
        <v>8.8036336390221528E-2</v>
      </c>
      <c r="D70" s="130">
        <f t="shared" ref="D70:H70" si="3">D69/D67</f>
        <v>8.28090083047998E-2</v>
      </c>
      <c r="E70" s="130">
        <f t="shared" si="3"/>
        <v>9.05297148226685E-2</v>
      </c>
      <c r="F70" s="130">
        <f t="shared" si="3"/>
        <v>9.1057410831113475E-2</v>
      </c>
      <c r="G70" s="130">
        <f t="shared" si="3"/>
        <v>7.9670821625919958E-2</v>
      </c>
      <c r="H70" s="130">
        <f t="shared" si="3"/>
        <v>8.8746924829715898E-2</v>
      </c>
      <c r="I70" s="11"/>
      <c r="J70" s="182">
        <f>SUM(J68:J69)</f>
        <v>14803.573929999999</v>
      </c>
      <c r="K70" s="24"/>
    </row>
    <row r="71" spans="1:13" x14ac:dyDescent="0.45">
      <c r="A71" s="24"/>
      <c r="C71" s="14"/>
      <c r="D71" s="14"/>
      <c r="E71" s="14"/>
      <c r="F71" s="14"/>
      <c r="G71" s="14"/>
      <c r="H71" s="14"/>
      <c r="I71" s="14"/>
      <c r="L71" s="14"/>
    </row>
    <row r="72" spans="1:13" x14ac:dyDescent="0.45">
      <c r="A72" s="24" t="s">
        <v>784</v>
      </c>
      <c r="B72" s="21" t="s">
        <v>877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</row>
    <row r="73" spans="1:13" x14ac:dyDescent="0.45">
      <c r="B73" s="73" t="s">
        <v>229</v>
      </c>
    </row>
    <row r="74" spans="1:13" x14ac:dyDescent="0.45">
      <c r="B74" s="73"/>
    </row>
    <row r="75" spans="1:13" x14ac:dyDescent="0.45">
      <c r="B75" t="s">
        <v>817</v>
      </c>
      <c r="C75">
        <f>2026-2021</f>
        <v>5</v>
      </c>
    </row>
    <row r="76" spans="1:13" x14ac:dyDescent="0.45">
      <c r="B76" t="s">
        <v>818</v>
      </c>
      <c r="C76">
        <f>2030-2026</f>
        <v>4</v>
      </c>
    </row>
    <row r="77" spans="1:13" x14ac:dyDescent="0.45">
      <c r="B77" s="73"/>
    </row>
    <row r="78" spans="1:13" x14ac:dyDescent="0.45">
      <c r="B78" s="1" t="s">
        <v>858</v>
      </c>
    </row>
    <row r="79" spans="1:13" x14ac:dyDescent="0.45">
      <c r="B79" s="270" t="s">
        <v>852</v>
      </c>
      <c r="C79" s="271"/>
      <c r="D79" s="271"/>
      <c r="E79" s="271"/>
    </row>
    <row r="80" spans="1:13" x14ac:dyDescent="0.45">
      <c r="B80" s="23" t="s">
        <v>862</v>
      </c>
      <c r="C80" s="85">
        <f>F59</f>
        <v>0</v>
      </c>
      <c r="D80" s="85"/>
    </row>
    <row r="81" spans="2:5" x14ac:dyDescent="0.45">
      <c r="B81" s="23" t="s">
        <v>863</v>
      </c>
      <c r="C81" s="87">
        <f>D60*((1+C80)^C75)</f>
        <v>6376.94416</v>
      </c>
      <c r="D81" s="98"/>
      <c r="E81" s="98"/>
    </row>
    <row r="82" spans="2:5" x14ac:dyDescent="0.45">
      <c r="B82" s="23" t="s">
        <v>864</v>
      </c>
      <c r="C82" s="178">
        <f>J70*((1+C80)^C75)</f>
        <v>14803.573929999999</v>
      </c>
      <c r="D82" s="85"/>
    </row>
    <row r="83" spans="2:5" x14ac:dyDescent="0.45">
      <c r="B83" s="23"/>
      <c r="C83" s="178"/>
      <c r="D83" s="85"/>
    </row>
    <row r="84" spans="2:5" x14ac:dyDescent="0.45">
      <c r="B84" s="1" t="s">
        <v>859</v>
      </c>
    </row>
    <row r="85" spans="2:5" x14ac:dyDescent="0.45">
      <c r="B85" s="270" t="s">
        <v>852</v>
      </c>
      <c r="C85" s="271"/>
      <c r="D85" s="271"/>
      <c r="E85" s="271"/>
    </row>
    <row r="86" spans="2:5" x14ac:dyDescent="0.45">
      <c r="B86" s="23" t="s">
        <v>862</v>
      </c>
      <c r="C86" s="85">
        <f>F59</f>
        <v>0</v>
      </c>
      <c r="D86" s="85"/>
    </row>
    <row r="87" spans="2:5" x14ac:dyDescent="0.45">
      <c r="B87" s="23" t="s">
        <v>880</v>
      </c>
      <c r="C87" s="87">
        <f>C81*((1+C86)^C76)</f>
        <v>6376.94416</v>
      </c>
      <c r="D87" s="98"/>
      <c r="E87" s="98"/>
    </row>
    <row r="88" spans="2:5" x14ac:dyDescent="0.45">
      <c r="B88" s="23" t="s">
        <v>881</v>
      </c>
      <c r="C88" s="178">
        <f>C82*((1+C86)^C76)</f>
        <v>14803.573929999999</v>
      </c>
      <c r="D88" s="85"/>
    </row>
    <row r="89" spans="2:5" x14ac:dyDescent="0.45">
      <c r="B89" s="23"/>
      <c r="C89" s="178"/>
      <c r="D89" s="85"/>
    </row>
    <row r="90" spans="2:5" x14ac:dyDescent="0.45">
      <c r="B90" s="1" t="s">
        <v>860</v>
      </c>
    </row>
    <row r="91" spans="2:5" x14ac:dyDescent="0.45">
      <c r="B91" s="270" t="s">
        <v>865</v>
      </c>
      <c r="C91" s="271"/>
      <c r="D91" s="271"/>
      <c r="E91" s="271"/>
    </row>
    <row r="92" spans="2:5" x14ac:dyDescent="0.45">
      <c r="B92" s="23" t="s">
        <v>866</v>
      </c>
      <c r="C92" s="144">
        <f>C80+C32</f>
        <v>1.8433425504031018E-2</v>
      </c>
      <c r="D92" s="85"/>
    </row>
    <row r="93" spans="2:5" ht="17" customHeight="1" x14ac:dyDescent="0.45">
      <c r="B93" s="23" t="s">
        <v>880</v>
      </c>
      <c r="C93" s="248">
        <f>C81*((1+C92)^C76)</f>
        <v>6860.3013412116306</v>
      </c>
      <c r="D93" s="98"/>
      <c r="E93" s="98"/>
    </row>
    <row r="94" spans="2:5" ht="17" customHeight="1" x14ac:dyDescent="0.45">
      <c r="B94" s="23" t="s">
        <v>881</v>
      </c>
      <c r="C94" s="178">
        <f>C82*((1+C92)^C76)</f>
        <v>15925.649580520167</v>
      </c>
      <c r="D94" s="85"/>
    </row>
    <row r="95" spans="2:5" ht="17" customHeight="1" x14ac:dyDescent="0.45"/>
    <row r="96" spans="2:5" ht="17" customHeight="1" x14ac:dyDescent="0.45">
      <c r="B96" s="274" t="s">
        <v>849</v>
      </c>
      <c r="C96" s="274" t="str">
        <f>C35</f>
        <v>produto representativo</v>
      </c>
    </row>
    <row r="97" spans="2:5" ht="17" customHeight="1" x14ac:dyDescent="0.45"/>
    <row r="98" spans="2:5" x14ac:dyDescent="0.45">
      <c r="B98" s="1" t="s">
        <v>861</v>
      </c>
    </row>
    <row r="99" spans="2:5" x14ac:dyDescent="0.45">
      <c r="B99" s="270" t="s">
        <v>882</v>
      </c>
      <c r="C99" s="271"/>
      <c r="D99" s="271"/>
      <c r="E99" s="271"/>
    </row>
    <row r="100" spans="2:5" ht="17" customHeight="1" x14ac:dyDescent="0.45">
      <c r="B100" s="23" t="s">
        <v>867</v>
      </c>
      <c r="C100" s="144">
        <f>IF(AND((C96="produto disruptivo"),(C34&gt;(C80+C33))),C34,(C80+C33))</f>
        <v>3.9298349258148527E-2</v>
      </c>
      <c r="D100" s="85"/>
    </row>
    <row r="101" spans="2:5" ht="17" customHeight="1" x14ac:dyDescent="0.45">
      <c r="B101" s="23" t="s">
        <v>880</v>
      </c>
      <c r="C101" s="248">
        <f>C81*((1+C100)^C76)</f>
        <v>7440.0107667426146</v>
      </c>
      <c r="D101" s="282"/>
    </row>
    <row r="102" spans="2:5" ht="17" customHeight="1" x14ac:dyDescent="0.45">
      <c r="B102" s="23" t="s">
        <v>881</v>
      </c>
      <c r="C102" s="178">
        <f>C82*((1+C100)^C76)</f>
        <v>17271.399382219191</v>
      </c>
      <c r="D102" s="282"/>
      <c r="E102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E6B-8852-4DA2-8DAF-125EE68AD2B2}">
  <dimension ref="A1:N97"/>
  <sheetViews>
    <sheetView showGridLines="0" zoomScale="85" zoomScaleNormal="85" workbookViewId="0"/>
  </sheetViews>
  <sheetFormatPr defaultRowHeight="14.25" x14ac:dyDescent="0.45"/>
  <cols>
    <col min="1" max="1" width="4.86328125" customWidth="1"/>
    <col min="2" max="2" width="42.53125" customWidth="1"/>
    <col min="3" max="6" width="13.6640625" bestFit="1" customWidth="1"/>
    <col min="7" max="7" width="13.86328125" customWidth="1"/>
    <col min="8" max="8" width="14.6640625" customWidth="1"/>
    <col min="9" max="9" width="20.53125" customWidth="1"/>
    <col min="10" max="10" width="18.6640625" customWidth="1"/>
    <col min="11" max="11" width="19.86328125" customWidth="1"/>
    <col min="12" max="12" width="19.46484375" customWidth="1"/>
  </cols>
  <sheetData>
    <row r="1" spans="1:14" s="69" customFormat="1" ht="22.25" customHeight="1" thickBot="1" x14ac:dyDescent="0.6">
      <c r="A1" s="70" t="s">
        <v>196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C75</f>
        <v>5.356273913971199E-3</v>
      </c>
      <c r="F5" s="122"/>
      <c r="G5" s="122"/>
      <c r="H5" s="315" t="s">
        <v>908</v>
      </c>
      <c r="I5" s="323" t="str">
        <f>Output_Etapa1!$B$14</f>
        <v>Eletrônicos</v>
      </c>
      <c r="J5" s="324">
        <f>E5+INDEX(Output_Etapa1!$B$5:$R$14,MATCH(I5,Output_Etapa1!$B$5:$B$14,0),MATCH(H5,Output_Etapa1!$B$5:$R$5,0))</f>
        <v>4.6242208522982331E-2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C76</f>
        <v>116.50813880543124</v>
      </c>
      <c r="F6" s="122"/>
      <c r="G6" s="122"/>
      <c r="H6" s="321" t="s">
        <v>897</v>
      </c>
      <c r="I6" s="321"/>
      <c r="J6" s="284">
        <f>E6*((1+$J$5)^4)</f>
        <v>139.59993357830322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C77</f>
        <v>309.33407590018851</v>
      </c>
      <c r="F7" s="122"/>
      <c r="G7" s="122"/>
      <c r="H7" s="322" t="s">
        <v>874</v>
      </c>
      <c r="I7" s="322"/>
      <c r="J7" s="284">
        <f>E7*((1+$J$5)^4)</f>
        <v>370.64377555020275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159.87550230529672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C81</f>
        <v>5.356273913971199E-3</v>
      </c>
      <c r="F9" s="122"/>
      <c r="G9" s="122"/>
      <c r="H9" s="322" t="s">
        <v>904</v>
      </c>
      <c r="I9" s="322"/>
      <c r="J9" s="283">
        <f>E7*((1+$J$5)^7)</f>
        <v>424.47627497746953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C82</f>
        <v>119.02446401551892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C83</f>
        <v>316.01502661751755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120.94730951903846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321.12026341066013</v>
      </c>
      <c r="F13" s="122"/>
      <c r="G13" s="122"/>
      <c r="H13" s="315" t="s">
        <v>909</v>
      </c>
      <c r="I13" s="323" t="str">
        <f>Output_Etapa1!$B$14</f>
        <v>Eletrônicos</v>
      </c>
      <c r="J13" s="324">
        <f>E5+INDEX(Output_Etapa1!$B$5:$R$14,MATCH(I13,Output_Etapa1!$B$5:$B$14,0),MATCH(H13,Output_Etapa1!$B$5:$R$5,0))</f>
        <v>0.13675867924516472</v>
      </c>
      <c r="K13" s="122"/>
      <c r="L13" s="315" t="s">
        <v>997</v>
      </c>
      <c r="M13" s="323" t="str">
        <f>Output_Etapa1!$B$14</f>
        <v>Eletrônicos</v>
      </c>
      <c r="N13" s="324">
        <f>INDEX(Output_Etapa1!$B$5:$R$14,MATCH(M13,Output_Etapa1!$B$5:$B$14,0),MATCH(L13,Output_Etapa1!$B$5:$R$5,0))</f>
        <v>0.23423273945647138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194.54916877919348</v>
      </c>
      <c r="K14" s="122"/>
      <c r="L14" s="321" t="s">
        <v>897</v>
      </c>
      <c r="M14" s="321"/>
      <c r="N14" s="284">
        <f>E6*((1+$N$13)^4)</f>
        <v>270.36129259296467</v>
      </c>
    </row>
    <row r="15" spans="1:14" x14ac:dyDescent="0.45">
      <c r="B15" s="168" t="s">
        <v>747</v>
      </c>
      <c r="C15" s="168"/>
      <c r="D15" s="6" t="s">
        <v>39</v>
      </c>
      <c r="E15" s="169">
        <f>C87</f>
        <v>1.7409931871750873E-2</v>
      </c>
      <c r="F15" s="122"/>
      <c r="G15" s="122"/>
      <c r="H15" s="322" t="s">
        <v>874</v>
      </c>
      <c r="I15" s="322"/>
      <c r="J15" s="284">
        <f>E7*((1+$J$13)^4)</f>
        <v>516.53633779150357</v>
      </c>
      <c r="K15" s="122"/>
      <c r="L15" s="322" t="s">
        <v>874</v>
      </c>
      <c r="M15" s="322"/>
      <c r="N15" s="284">
        <f>E7*((1+$N$13)^4)</f>
        <v>717.8207587977239</v>
      </c>
    </row>
    <row r="16" spans="1:14" x14ac:dyDescent="0.45">
      <c r="B16" s="21" t="s">
        <v>232</v>
      </c>
      <c r="C16" s="21"/>
      <c r="D16" s="97"/>
      <c r="E16" s="284">
        <f>C88</f>
        <v>124.83608952817846</v>
      </c>
      <c r="F16" s="122"/>
      <c r="G16" s="122"/>
      <c r="H16" s="322" t="s">
        <v>903</v>
      </c>
      <c r="I16" s="322"/>
      <c r="J16" s="283">
        <f>E6*((1+$J$13)^7)</f>
        <v>285.78156875104054</v>
      </c>
      <c r="K16" s="122"/>
      <c r="L16" s="322" t="s">
        <v>903</v>
      </c>
      <c r="M16" s="322"/>
      <c r="N16" s="283">
        <f>E6*((1+$N$13)^7)</f>
        <v>508.31824881999444</v>
      </c>
    </row>
    <row r="17" spans="1:14" x14ac:dyDescent="0.45">
      <c r="B17" s="21" t="s">
        <v>874</v>
      </c>
      <c r="C17" s="21"/>
      <c r="D17" s="21"/>
      <c r="E17" s="284">
        <f>C89</f>
        <v>331.44514013464033</v>
      </c>
      <c r="F17" s="122"/>
      <c r="G17" s="122"/>
      <c r="H17" s="322" t="s">
        <v>904</v>
      </c>
      <c r="I17" s="322"/>
      <c r="J17" s="283">
        <f>E7*((1+$J$13)^7)</f>
        <v>758.7622494471459</v>
      </c>
      <c r="K17" s="122"/>
      <c r="L17" s="322" t="s">
        <v>904</v>
      </c>
      <c r="M17" s="322"/>
      <c r="N17" s="283">
        <f>E7*((1+$N$13)^7)</f>
        <v>1349.6066229718624</v>
      </c>
    </row>
    <row r="18" spans="1:14" x14ac:dyDescent="0.45">
      <c r="B18" s="21" t="s">
        <v>903</v>
      </c>
      <c r="C18" s="21"/>
      <c r="D18" s="21"/>
      <c r="E18" s="283">
        <f>$E$6*((1+$E$15)^7)</f>
        <v>131.47042733724621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349.05958987539941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C95</f>
        <v>5.1999999999999998E-2</v>
      </c>
      <c r="F21" s="122"/>
      <c r="G21" s="122"/>
      <c r="H21" s="315" t="s">
        <v>910</v>
      </c>
      <c r="I21" s="323" t="str">
        <f>Output_Etapa1!$B$14</f>
        <v>Eletrônicos</v>
      </c>
      <c r="J21" s="324">
        <f>E5+INDEX(Output_Etapa1!$B$5:$R$14,MATCH(I21,Output_Etapa1!$B$5:$B$14,0),MATCH(H21,Output_Etapa1!$B$5:$R$5,0))</f>
        <v>1.3614389193871701E-2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C96</f>
        <v>142.69843948923673</v>
      </c>
      <c r="F22" s="122"/>
      <c r="G22" s="122"/>
      <c r="H22" s="321" t="s">
        <v>897</v>
      </c>
      <c r="I22" s="321"/>
      <c r="J22" s="284">
        <f>E6*((1+$J$21)^4)</f>
        <v>122.98363721599003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C97</f>
        <v>378.87044084978788</v>
      </c>
      <c r="F23" s="122"/>
      <c r="G23" s="122"/>
      <c r="H23" s="322" t="s">
        <v>874</v>
      </c>
      <c r="I23" s="322"/>
      <c r="J23" s="284">
        <f>E7*((1+$J$21)^4)</f>
        <v>326.52680026572415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166.13703033287408</v>
      </c>
      <c r="F24" s="122"/>
      <c r="G24" s="122"/>
      <c r="H24" s="322" t="s">
        <v>903</v>
      </c>
      <c r="I24" s="322"/>
      <c r="J24" s="283">
        <f>E6*((1+$J$21)^7)</f>
        <v>128.07537450275987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441.10089885347531</v>
      </c>
      <c r="F25" s="122"/>
      <c r="G25" s="122"/>
      <c r="H25" s="322" t="s">
        <v>904</v>
      </c>
      <c r="I25" s="322"/>
      <c r="J25" s="283">
        <f>E7*((1+$J$21)^7)</f>
        <v>340.04557985038309</v>
      </c>
      <c r="K25" s="122"/>
      <c r="L25" s="122"/>
      <c r="M25" s="122"/>
      <c r="N25" s="122"/>
    </row>
    <row r="28" spans="1:14" x14ac:dyDescent="0.45">
      <c r="A28" s="24" t="s">
        <v>51</v>
      </c>
      <c r="B28" s="21" t="s">
        <v>52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x14ac:dyDescent="0.45">
      <c r="A29" s="24"/>
      <c r="B29" s="116" t="s">
        <v>206</v>
      </c>
      <c r="C29" s="18">
        <f>Aux!A3</f>
        <v>1.3622653753834655</v>
      </c>
    </row>
    <row r="30" spans="1:14" x14ac:dyDescent="0.45">
      <c r="A30" s="24"/>
      <c r="B30" s="116" t="s">
        <v>203</v>
      </c>
      <c r="C30" s="18">
        <v>0.19</v>
      </c>
    </row>
    <row r="31" spans="1:14" x14ac:dyDescent="0.45">
      <c r="A31" s="24"/>
      <c r="B31" s="116" t="s">
        <v>204</v>
      </c>
      <c r="C31" s="18">
        <f>Aux!C24</f>
        <v>0.28652337314416421</v>
      </c>
    </row>
    <row r="32" spans="1:14" x14ac:dyDescent="0.45">
      <c r="A32" s="24"/>
      <c r="B32" s="116" t="s">
        <v>205</v>
      </c>
      <c r="C32" s="18">
        <f>Aux!A6</f>
        <v>1.1431566969667646</v>
      </c>
    </row>
    <row r="33" spans="1:12" ht="28.5" x14ac:dyDescent="0.45">
      <c r="A33" s="24"/>
      <c r="B33" s="117" t="s">
        <v>885</v>
      </c>
      <c r="C33" s="161">
        <f>'Cenario B benchmark va'!C13</f>
        <v>1.2053657957779674E-2</v>
      </c>
    </row>
    <row r="34" spans="1:12" ht="28.5" x14ac:dyDescent="0.45">
      <c r="A34" s="24"/>
      <c r="B34" s="117" t="s">
        <v>886</v>
      </c>
      <c r="C34" s="161">
        <f>'Cenario B benchmark va'!D13</f>
        <v>2.5081259979173081E-2</v>
      </c>
    </row>
    <row r="35" spans="1:12" ht="28.25" customHeight="1" x14ac:dyDescent="0.45">
      <c r="A35" s="24"/>
      <c r="B35" s="117" t="s">
        <v>760</v>
      </c>
      <c r="C35" s="115">
        <v>5.1999999999999998E-2</v>
      </c>
    </row>
    <row r="36" spans="1:12" x14ac:dyDescent="0.45">
      <c r="A36" s="24"/>
      <c r="B36" s="116" t="s">
        <v>745</v>
      </c>
      <c r="C36" s="164" t="str">
        <f>IF(D58&lt;3%,"produto disruptivo", "produto representativo")</f>
        <v>produto disruptivo</v>
      </c>
    </row>
    <row r="37" spans="1:12" x14ac:dyDescent="0.45">
      <c r="A37" s="24"/>
    </row>
    <row r="38" spans="1:12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2" x14ac:dyDescent="0.45">
      <c r="A39" s="24"/>
    </row>
    <row r="40" spans="1:12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2" ht="14" customHeight="1" x14ac:dyDescent="0.45">
      <c r="A41" s="24"/>
      <c r="B41" s="23"/>
      <c r="C41" s="23"/>
      <c r="D41" s="23"/>
      <c r="E41" s="23"/>
      <c r="F41" s="23"/>
      <c r="G41" s="23"/>
    </row>
    <row r="42" spans="1:12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2" ht="14" customHeight="1" x14ac:dyDescent="0.45">
      <c r="A43" s="24"/>
      <c r="B43" s="23"/>
      <c r="C43" s="165"/>
      <c r="D43" s="23"/>
      <c r="E43" s="23"/>
      <c r="F43" s="23"/>
      <c r="G43" s="23"/>
    </row>
    <row r="44" spans="1:12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2" x14ac:dyDescent="0.45">
      <c r="A45" s="24"/>
    </row>
    <row r="46" spans="1:12" x14ac:dyDescent="0.45">
      <c r="A46" s="24"/>
    </row>
    <row r="47" spans="1:12" x14ac:dyDescent="0.45">
      <c r="A47" s="24" t="s">
        <v>49</v>
      </c>
      <c r="B47" s="74" t="s">
        <v>780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x14ac:dyDescent="0.45">
      <c r="A48" s="24"/>
      <c r="B48" s="75" t="s">
        <v>228</v>
      </c>
      <c r="C48" s="24"/>
      <c r="D48" s="24"/>
      <c r="E48" s="24"/>
      <c r="F48" s="24"/>
      <c r="G48" s="24"/>
      <c r="H48" s="24"/>
      <c r="I48" s="24"/>
      <c r="J48" s="24"/>
      <c r="K48" s="24"/>
    </row>
    <row r="49" spans="1:13" x14ac:dyDescent="0.45">
      <c r="A49" s="24"/>
      <c r="B49" s="126" t="s">
        <v>781</v>
      </c>
      <c r="C49" s="24"/>
      <c r="D49" s="24"/>
      <c r="E49" s="24"/>
      <c r="F49" s="24"/>
      <c r="G49" s="24"/>
      <c r="H49" s="24"/>
      <c r="I49" s="24"/>
      <c r="J49" s="24"/>
      <c r="K49" s="24"/>
    </row>
    <row r="50" spans="1:13" x14ac:dyDescent="0.45">
      <c r="A50" s="24"/>
      <c r="B50" s="20" t="s">
        <v>44</v>
      </c>
      <c r="C50" s="25">
        <v>2016</v>
      </c>
      <c r="D50" s="25">
        <v>2017</v>
      </c>
      <c r="E50" s="25">
        <v>2018</v>
      </c>
      <c r="F50" s="25">
        <v>2019</v>
      </c>
      <c r="G50" s="25">
        <v>2020</v>
      </c>
      <c r="H50" s="25">
        <v>2021</v>
      </c>
      <c r="I50" s="25" t="s">
        <v>43</v>
      </c>
      <c r="J50" s="24"/>
      <c r="K50" s="24"/>
    </row>
    <row r="51" spans="1:13" x14ac:dyDescent="0.45">
      <c r="A51" s="24"/>
      <c r="B51" s="80" t="s">
        <v>194</v>
      </c>
      <c r="C51" s="81">
        <v>15398310</v>
      </c>
      <c r="D51" s="81">
        <v>17294138</v>
      </c>
      <c r="E51" s="81">
        <v>17142424</v>
      </c>
      <c r="F51" s="81">
        <v>17371353</v>
      </c>
      <c r="G51" s="81">
        <v>19039949</v>
      </c>
      <c r="H51" s="81">
        <v>27263728</v>
      </c>
      <c r="I51" s="83">
        <f>C51*$C$29</f>
        <v>20976584.55242097</v>
      </c>
      <c r="J51" s="24"/>
      <c r="K51" s="24"/>
    </row>
    <row r="52" spans="1:13" x14ac:dyDescent="0.45">
      <c r="A52" s="24"/>
      <c r="B52" s="3" t="s">
        <v>195</v>
      </c>
      <c r="C52" s="79">
        <v>541511</v>
      </c>
      <c r="D52" s="79">
        <v>516355</v>
      </c>
      <c r="E52" s="79">
        <v>402549</v>
      </c>
      <c r="F52" s="79">
        <v>539734</v>
      </c>
      <c r="G52" s="79">
        <v>628790</v>
      </c>
      <c r="H52" s="79">
        <v>597039</v>
      </c>
      <c r="I52" s="82">
        <f>C52*$C$29</f>
        <v>737681.68568927574</v>
      </c>
      <c r="J52" s="24"/>
      <c r="K52" s="24"/>
    </row>
    <row r="53" spans="1:13" x14ac:dyDescent="0.45">
      <c r="A53" s="24"/>
      <c r="B53" s="2"/>
      <c r="C53" s="78"/>
      <c r="D53" s="78"/>
      <c r="E53" s="78"/>
      <c r="F53" s="78"/>
      <c r="G53" s="78"/>
      <c r="H53" s="78"/>
      <c r="I53" s="11"/>
      <c r="J53" s="24"/>
      <c r="K53" s="24"/>
    </row>
    <row r="54" spans="1:13" x14ac:dyDescent="0.45">
      <c r="A54" s="24"/>
      <c r="B54" s="75" t="s">
        <v>184</v>
      </c>
      <c r="C54" s="128"/>
      <c r="D54" s="128"/>
      <c r="E54" s="128"/>
      <c r="F54" s="128"/>
      <c r="G54" s="129"/>
      <c r="I54" s="14"/>
      <c r="J54" s="14"/>
    </row>
    <row r="55" spans="1:13" x14ac:dyDescent="0.45">
      <c r="A55" s="24"/>
      <c r="B55" s="170" t="s">
        <v>44</v>
      </c>
      <c r="C55" s="171" t="s">
        <v>43</v>
      </c>
      <c r="D55" s="171">
        <v>2021</v>
      </c>
      <c r="E55" s="171" t="s">
        <v>48</v>
      </c>
      <c r="F55" s="171" t="s">
        <v>39</v>
      </c>
      <c r="G55" s="90"/>
      <c r="I55" s="14"/>
      <c r="J55" s="14"/>
    </row>
    <row r="56" spans="1:13" x14ac:dyDescent="0.45">
      <c r="A56" s="24"/>
      <c r="B56" s="91" t="s">
        <v>197</v>
      </c>
      <c r="C56" s="84">
        <f>C51*$C$32*$C$31/1000</f>
        <v>5043.5795933670697</v>
      </c>
      <c r="D56" s="84">
        <f>H51*$C$30/1000</f>
        <v>5180.1083200000003</v>
      </c>
      <c r="E56" s="94">
        <f>D56-C56</f>
        <v>136.52872663293056</v>
      </c>
      <c r="F56" s="95">
        <f>(D56/C56)^(1/5)-1</f>
        <v>5.356273913971199E-3</v>
      </c>
      <c r="G56" s="90"/>
      <c r="I56" s="14"/>
      <c r="J56" s="14"/>
    </row>
    <row r="57" spans="1:13" x14ac:dyDescent="0.45">
      <c r="A57" s="24"/>
      <c r="B57" s="22" t="s">
        <v>233</v>
      </c>
      <c r="C57" s="84">
        <f>SUM(C52:C52)*$C$32*$C$31/1000</f>
        <v>177.36711555903182</v>
      </c>
      <c r="D57" s="84">
        <f>(SUM(H52:H52)*$C$30/1000)</f>
        <v>113.43741</v>
      </c>
      <c r="E57" s="94">
        <f>D57-C57</f>
        <v>-63.929705559031817</v>
      </c>
      <c r="F57" s="96">
        <f>(D57/C57)^(1/5)-1</f>
        <v>-8.5514887385858995E-2</v>
      </c>
      <c r="G57" s="24"/>
      <c r="I57" s="14"/>
      <c r="J57" s="14"/>
    </row>
    <row r="58" spans="1:13" x14ac:dyDescent="0.45">
      <c r="A58" s="24"/>
      <c r="B58" t="s">
        <v>231</v>
      </c>
      <c r="C58" s="14">
        <f>C57/C56</f>
        <v>3.5166911174018448E-2</v>
      </c>
      <c r="D58" s="14">
        <f>D57/D56</f>
        <v>2.1898655972506766E-2</v>
      </c>
      <c r="E58" s="14"/>
      <c r="F58" s="14"/>
      <c r="G58" s="14"/>
      <c r="I58" s="14"/>
      <c r="J58" s="14"/>
    </row>
    <row r="59" spans="1:13" x14ac:dyDescent="0.45">
      <c r="A59" s="24"/>
      <c r="C59" s="14"/>
      <c r="D59" s="14"/>
      <c r="E59" s="14"/>
      <c r="F59" s="14"/>
      <c r="G59" s="14"/>
      <c r="I59" s="14"/>
      <c r="J59" s="14"/>
    </row>
    <row r="60" spans="1:13" x14ac:dyDescent="0.45">
      <c r="A60" s="24" t="s">
        <v>50</v>
      </c>
      <c r="B60" s="74" t="s">
        <v>786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x14ac:dyDescent="0.45">
      <c r="A61" s="24"/>
      <c r="B61" s="75" t="s">
        <v>783</v>
      </c>
      <c r="C61" s="127"/>
      <c r="D61" s="127"/>
      <c r="E61" s="127"/>
      <c r="F61" s="127"/>
      <c r="G61" s="127"/>
      <c r="H61" s="127"/>
      <c r="I61" s="124"/>
      <c r="J61" s="24"/>
      <c r="K61" s="24"/>
    </row>
    <row r="62" spans="1:13" x14ac:dyDescent="0.45">
      <c r="A62" s="24"/>
      <c r="B62" s="20" t="s">
        <v>44</v>
      </c>
      <c r="C62" s="25">
        <v>2016</v>
      </c>
      <c r="D62" s="25">
        <v>2017</v>
      </c>
      <c r="E62" s="25">
        <v>2018</v>
      </c>
      <c r="F62" s="25">
        <v>2019</v>
      </c>
      <c r="G62" s="25">
        <v>2020</v>
      </c>
      <c r="H62" s="25">
        <v>2021</v>
      </c>
      <c r="J62" s="170" t="s">
        <v>782</v>
      </c>
      <c r="K62" s="24"/>
    </row>
    <row r="63" spans="1:13" x14ac:dyDescent="0.45">
      <c r="A63" s="24"/>
      <c r="B63" s="91" t="s">
        <v>194</v>
      </c>
      <c r="C63" s="78">
        <f>VLOOKUP($B63,'Dados IBGE - VPB'!$A$4:$G$423,2,FALSE)</f>
        <v>73150745</v>
      </c>
      <c r="D63" s="78">
        <f>VLOOKUP($B63,'Dados IBGE - VPB'!$A$4:$G$423,3,FALSE)</f>
        <v>86771242</v>
      </c>
      <c r="E63" s="78">
        <f>VLOOKUP($B63,'Dados IBGE - VPB'!$A$4:$G$423,4,FALSE)</f>
        <v>99507283</v>
      </c>
      <c r="F63" s="78">
        <f>VLOOKUP($B63,'Dados IBGE - VPB'!$A$4:$G$423,5,FALSE)</f>
        <v>100390273</v>
      </c>
      <c r="G63" s="78">
        <f>VLOOKUP($B63,'Dados IBGE - VPB'!$A$4:$G$423,6,FALSE)</f>
        <v>108491943</v>
      </c>
      <c r="H63" s="78">
        <f>VLOOKUP($B63,'Dados IBGE - VPB'!$A$4:$G$423,7,FALSE)</f>
        <v>140418767</v>
      </c>
      <c r="K63" s="24"/>
    </row>
    <row r="64" spans="1:13" x14ac:dyDescent="0.45">
      <c r="A64" s="24"/>
      <c r="B64" s="92" t="s">
        <v>195</v>
      </c>
      <c r="C64" s="78">
        <f>VLOOKUP($B64,'Dados IBGE - VPB'!$A$4:$G$423,2,FALSE)</f>
        <v>1589143</v>
      </c>
      <c r="D64" s="78">
        <f>VLOOKUP($B64,'Dados IBGE - VPB'!$A$4:$G$423,3,FALSE)</f>
        <v>1565634</v>
      </c>
      <c r="E64" s="78">
        <f>VLOOKUP($B64,'Dados IBGE - VPB'!$A$4:$G$423,4,FALSE)</f>
        <v>1173653</v>
      </c>
      <c r="F64" s="78">
        <f>VLOOKUP($B64,'Dados IBGE - VPB'!$A$4:$G$423,5,FALSE)</f>
        <v>1254644</v>
      </c>
      <c r="G64" s="78">
        <f>VLOOKUP($B64,'Dados IBGE - VPB'!$A$4:$G$423,6,FALSE)</f>
        <v>2031545</v>
      </c>
      <c r="H64" s="78">
        <f>VLOOKUP($B64,'Dados IBGE - VPB'!$A$4:$G$423,7,FALSE)</f>
        <v>1585164</v>
      </c>
      <c r="J64" s="187">
        <f>H64*$C$30/1000</f>
        <v>301.18116000000003</v>
      </c>
      <c r="K64" s="24"/>
    </row>
    <row r="65" spans="1:13" x14ac:dyDescent="0.45">
      <c r="A65" s="24"/>
      <c r="B65" s="109"/>
      <c r="C65" s="130">
        <f>C64/C63</f>
        <v>2.1724221674023964E-2</v>
      </c>
      <c r="D65" s="130">
        <f t="shared" ref="D65:H65" si="0">D64/D63</f>
        <v>1.8043236029743587E-2</v>
      </c>
      <c r="E65" s="130">
        <f t="shared" si="0"/>
        <v>1.1794644217147402E-2</v>
      </c>
      <c r="F65" s="130">
        <f t="shared" si="0"/>
        <v>1.2497664987921689E-2</v>
      </c>
      <c r="G65" s="130">
        <f t="shared" si="0"/>
        <v>1.8725307555787805E-2</v>
      </c>
      <c r="H65" s="130">
        <f t="shared" si="0"/>
        <v>1.1288832923593468E-2</v>
      </c>
      <c r="J65" s="11"/>
      <c r="K65" s="24"/>
    </row>
    <row r="67" spans="1:13" x14ac:dyDescent="0.45">
      <c r="A67" s="24" t="s">
        <v>784</v>
      </c>
      <c r="B67" s="21" t="s">
        <v>877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 spans="1:13" x14ac:dyDescent="0.45">
      <c r="B68" s="73" t="s">
        <v>229</v>
      </c>
    </row>
    <row r="69" spans="1:13" x14ac:dyDescent="0.45">
      <c r="B69" s="73"/>
    </row>
    <row r="70" spans="1:13" x14ac:dyDescent="0.45">
      <c r="B70" t="s">
        <v>817</v>
      </c>
      <c r="C70">
        <f>2026-2021</f>
        <v>5</v>
      </c>
    </row>
    <row r="71" spans="1:13" x14ac:dyDescent="0.45">
      <c r="B71" t="s">
        <v>818</v>
      </c>
      <c r="C71">
        <f>2030-2026</f>
        <v>4</v>
      </c>
    </row>
    <row r="72" spans="1:13" x14ac:dyDescent="0.45">
      <c r="B72" s="73"/>
    </row>
    <row r="73" spans="1:13" x14ac:dyDescent="0.45">
      <c r="B73" s="1" t="s">
        <v>858</v>
      </c>
    </row>
    <row r="74" spans="1:13" x14ac:dyDescent="0.45">
      <c r="B74" s="270" t="s">
        <v>852</v>
      </c>
      <c r="C74" s="271"/>
      <c r="D74" s="271"/>
      <c r="E74" s="271"/>
    </row>
    <row r="75" spans="1:13" x14ac:dyDescent="0.45">
      <c r="B75" s="23" t="s">
        <v>862</v>
      </c>
      <c r="C75" s="85">
        <f>F56</f>
        <v>5.356273913971199E-3</v>
      </c>
      <c r="D75" s="85"/>
    </row>
    <row r="76" spans="1:13" x14ac:dyDescent="0.45">
      <c r="B76" s="23" t="s">
        <v>863</v>
      </c>
      <c r="C76" s="87">
        <f>D57*((1+C75)^C70)</f>
        <v>116.50813880543124</v>
      </c>
      <c r="D76" s="98"/>
      <c r="E76" s="98"/>
    </row>
    <row r="77" spans="1:13" x14ac:dyDescent="0.45">
      <c r="B77" s="23" t="s">
        <v>864</v>
      </c>
      <c r="C77" s="178">
        <f>J64*((1+C75)^C70)</f>
        <v>309.33407590018851</v>
      </c>
      <c r="D77" s="85"/>
    </row>
    <row r="78" spans="1:13" x14ac:dyDescent="0.45">
      <c r="B78" s="23"/>
      <c r="C78" s="178"/>
      <c r="D78" s="85"/>
    </row>
    <row r="79" spans="1:13" x14ac:dyDescent="0.45">
      <c r="B79" s="1" t="s">
        <v>859</v>
      </c>
    </row>
    <row r="80" spans="1:13" x14ac:dyDescent="0.45">
      <c r="B80" s="270" t="s">
        <v>852</v>
      </c>
      <c r="C80" s="271"/>
      <c r="D80" s="271"/>
      <c r="E80" s="271"/>
    </row>
    <row r="81" spans="2:5" x14ac:dyDescent="0.45">
      <c r="B81" s="23" t="s">
        <v>862</v>
      </c>
      <c r="C81" s="85">
        <f>F56</f>
        <v>5.356273913971199E-3</v>
      </c>
      <c r="D81" s="85"/>
    </row>
    <row r="82" spans="2:5" x14ac:dyDescent="0.45">
      <c r="B82" s="23" t="s">
        <v>880</v>
      </c>
      <c r="C82" s="87">
        <f>C76*((1+C81)^C71)</f>
        <v>119.02446401551892</v>
      </c>
      <c r="D82" s="98"/>
      <c r="E82" s="98"/>
    </row>
    <row r="83" spans="2:5" x14ac:dyDescent="0.45">
      <c r="B83" s="23" t="s">
        <v>881</v>
      </c>
      <c r="C83" s="178">
        <f>C77*((1+C81)^C71)</f>
        <v>316.01502661751755</v>
      </c>
      <c r="D83" s="85"/>
    </row>
    <row r="84" spans="2:5" x14ac:dyDescent="0.45">
      <c r="B84" s="23"/>
      <c r="C84" s="178"/>
      <c r="D84" s="85"/>
    </row>
    <row r="85" spans="2:5" x14ac:dyDescent="0.45">
      <c r="B85" s="1" t="s">
        <v>860</v>
      </c>
    </row>
    <row r="86" spans="2:5" x14ac:dyDescent="0.45">
      <c r="B86" s="270" t="s">
        <v>865</v>
      </c>
      <c r="C86" s="271"/>
      <c r="D86" s="271"/>
      <c r="E86" s="271"/>
    </row>
    <row r="87" spans="2:5" x14ac:dyDescent="0.45">
      <c r="B87" s="23" t="s">
        <v>866</v>
      </c>
      <c r="C87" s="144">
        <f>C75+C33</f>
        <v>1.7409931871750873E-2</v>
      </c>
      <c r="D87" s="85"/>
    </row>
    <row r="88" spans="2:5" ht="17" customHeight="1" x14ac:dyDescent="0.45">
      <c r="B88" s="23" t="s">
        <v>880</v>
      </c>
      <c r="C88" s="248">
        <f>C76*((1+C87)^C71)</f>
        <v>124.83608952817846</v>
      </c>
      <c r="D88" s="98"/>
      <c r="E88" s="98"/>
    </row>
    <row r="89" spans="2:5" ht="17" customHeight="1" x14ac:dyDescent="0.45">
      <c r="B89" s="23" t="s">
        <v>881</v>
      </c>
      <c r="C89" s="178">
        <f>C77*((1+C87)^C71)</f>
        <v>331.44514013464033</v>
      </c>
      <c r="D89" s="85"/>
    </row>
    <row r="90" spans="2:5" ht="17" customHeight="1" x14ac:dyDescent="0.45"/>
    <row r="91" spans="2:5" ht="17" customHeight="1" x14ac:dyDescent="0.45">
      <c r="B91" s="274" t="s">
        <v>849</v>
      </c>
      <c r="C91" s="274" t="str">
        <f>C36</f>
        <v>produto disruptivo</v>
      </c>
    </row>
    <row r="92" spans="2:5" ht="17" customHeight="1" x14ac:dyDescent="0.45"/>
    <row r="93" spans="2:5" x14ac:dyDescent="0.45">
      <c r="B93" s="1" t="s">
        <v>861</v>
      </c>
    </row>
    <row r="94" spans="2:5" x14ac:dyDescent="0.45">
      <c r="B94" s="270" t="s">
        <v>882</v>
      </c>
      <c r="C94" s="271"/>
      <c r="D94" s="271"/>
      <c r="E94" s="271"/>
    </row>
    <row r="95" spans="2:5" ht="17" customHeight="1" x14ac:dyDescent="0.45">
      <c r="B95" s="23" t="s">
        <v>867</v>
      </c>
      <c r="C95" s="144">
        <f>IF(AND((C91="produto disruptivo"),(C35&gt;(C75+C34))),C35,(C75+C34))</f>
        <v>5.1999999999999998E-2</v>
      </c>
      <c r="D95" s="85"/>
    </row>
    <row r="96" spans="2:5" ht="17" customHeight="1" x14ac:dyDescent="0.45">
      <c r="B96" s="23" t="s">
        <v>880</v>
      </c>
      <c r="C96" s="248">
        <f>C76*((1+C95)^C71)</f>
        <v>142.69843948923673</v>
      </c>
      <c r="D96" s="282"/>
    </row>
    <row r="97" spans="2:5" ht="17" customHeight="1" x14ac:dyDescent="0.45">
      <c r="B97" s="23" t="s">
        <v>881</v>
      </c>
      <c r="C97" s="178">
        <f>C77*((1+C95)^C71)</f>
        <v>378.87044084978788</v>
      </c>
      <c r="D97" s="282"/>
      <c r="E97" s="11"/>
    </row>
  </sheetData>
  <phoneticPr fontId="8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2B66-1E18-4854-9252-E846152F92C6}">
  <dimension ref="A1:N106"/>
  <sheetViews>
    <sheetView showGridLines="0" zoomScale="90" zoomScaleNormal="90" workbookViewId="0"/>
  </sheetViews>
  <sheetFormatPr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8" width="16" customWidth="1"/>
    <col min="9" max="9" width="14.6640625" customWidth="1"/>
    <col min="10" max="10" width="18.53125" customWidth="1"/>
    <col min="11" max="12" width="16.53125" customWidth="1"/>
    <col min="13" max="13" width="15.1328125" customWidth="1"/>
  </cols>
  <sheetData>
    <row r="1" spans="1:14" s="69" customFormat="1" ht="22.25" customHeight="1" thickBot="1" x14ac:dyDescent="0.6">
      <c r="A1" s="70" t="s">
        <v>270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C84</f>
        <v>0</v>
      </c>
      <c r="F5" s="122"/>
      <c r="G5" s="122"/>
      <c r="H5" s="315" t="s">
        <v>908</v>
      </c>
      <c r="I5" s="323" t="str">
        <f>Output_Etapa1!$B$13</f>
        <v xml:space="preserve">Outros transportes </v>
      </c>
      <c r="J5" s="324">
        <f>E5+INDEX(Output_Etapa1!$B$5:$R$14,MATCH(I5,Output_Etapa1!$B$5:$B$14,0),MATCH(H5,Output_Etapa1!$B$5:$R$5,0))</f>
        <v>1.770333430742177E-2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C85</f>
        <v>208.52530682617183</v>
      </c>
      <c r="F6" s="122"/>
      <c r="G6" s="122"/>
      <c r="H6" s="321" t="s">
        <v>897</v>
      </c>
      <c r="I6" s="321"/>
      <c r="J6" s="284">
        <f>E6*((1+$J$5)^4)</f>
        <v>223.68844913497944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C86</f>
        <v>1009.5766593759926</v>
      </c>
      <c r="F7" s="122"/>
      <c r="G7" s="122"/>
      <c r="H7" s="322" t="s">
        <v>874</v>
      </c>
      <c r="I7" s="322"/>
      <c r="J7" s="284">
        <f>E7*((1+$J$5)^4)</f>
        <v>1082.9891136759875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235.78010170691579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C90</f>
        <v>0</v>
      </c>
      <c r="F9" s="122"/>
      <c r="G9" s="122"/>
      <c r="H9" s="322" t="s">
        <v>904</v>
      </c>
      <c r="I9" s="322"/>
      <c r="J9" s="283">
        <f>E7*((1+$J$5)^7)</f>
        <v>1141.5309299941712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C91</f>
        <v>208.52530682617183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C92</f>
        <v>1009.5766593759926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208.52530682617183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1009.5766593759926</v>
      </c>
      <c r="F13" s="122"/>
      <c r="G13" s="122"/>
      <c r="H13" s="315" t="s">
        <v>909</v>
      </c>
      <c r="I13" s="323" t="str">
        <f>Output_Etapa1!$B$13</f>
        <v xml:space="preserve">Outros transportes </v>
      </c>
      <c r="J13" s="324">
        <f>E5+INDEX(Output_Etapa1!$B$5:$R$14,MATCH(I13,Output_Etapa1!$B$5:$B$14,0),MATCH(H13,Output_Etapa1!$B$5:$R$5,0))</f>
        <v>0.10751861101708293</v>
      </c>
      <c r="K13" s="122"/>
      <c r="L13" s="315" t="s">
        <v>997</v>
      </c>
      <c r="M13" s="323" t="str">
        <f>Output_Etapa1!$B$13</f>
        <v xml:space="preserve">Outros transportes </v>
      </c>
      <c r="N13" s="324">
        <f>INDEX(Output_Etapa1!$B$5:$R$14,MATCH(M13,Output_Etapa1!$B$5:$B$14,0),MATCH(L13,Output_Etapa1!$B$5:$R$5,0))</f>
        <v>5.2592974082459554E-2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313.7349492704875</v>
      </c>
      <c r="K14" s="122"/>
      <c r="L14" s="321" t="s">
        <v>897</v>
      </c>
      <c r="M14" s="321"/>
      <c r="N14" s="284">
        <f>E6*((1+$N$13)^4)</f>
        <v>255.97681805636773</v>
      </c>
    </row>
    <row r="15" spans="1:14" x14ac:dyDescent="0.45">
      <c r="B15" s="168" t="s">
        <v>747</v>
      </c>
      <c r="C15" s="168"/>
      <c r="D15" s="6" t="s">
        <v>39</v>
      </c>
      <c r="E15" s="169">
        <f>C96</f>
        <v>5.9615211794127675E-2</v>
      </c>
      <c r="F15" s="122"/>
      <c r="G15" s="122"/>
      <c r="H15" s="322" t="s">
        <v>874</v>
      </c>
      <c r="I15" s="322"/>
      <c r="J15" s="284">
        <f>E7*((1+$J$13)^4)</f>
        <v>1518.9498427547287</v>
      </c>
      <c r="K15" s="122"/>
      <c r="L15" s="322" t="s">
        <v>874</v>
      </c>
      <c r="M15" s="322"/>
      <c r="N15" s="284">
        <f>E7*((1+$N$13)^4)</f>
        <v>1239.3134664775801</v>
      </c>
    </row>
    <row r="16" spans="1:14" x14ac:dyDescent="0.45">
      <c r="B16" s="21" t="s">
        <v>232</v>
      </c>
      <c r="C16" s="21"/>
      <c r="D16" s="97"/>
      <c r="E16" s="284">
        <f>C97</f>
        <v>262.8763441971272</v>
      </c>
      <c r="F16" s="122"/>
      <c r="G16" s="122"/>
      <c r="H16" s="322" t="s">
        <v>903</v>
      </c>
      <c r="I16" s="322"/>
      <c r="J16" s="283">
        <f>E6*((1+$J$13)^7)</f>
        <v>426.20250655622755</v>
      </c>
      <c r="K16" s="122"/>
      <c r="L16" s="322" t="s">
        <v>903</v>
      </c>
      <c r="M16" s="322"/>
      <c r="N16" s="283">
        <f>E6*((1+$N$13)^7)</f>
        <v>298.5259140170549</v>
      </c>
    </row>
    <row r="17" spans="1:14" x14ac:dyDescent="0.45">
      <c r="B17" s="21" t="s">
        <v>874</v>
      </c>
      <c r="C17" s="21"/>
      <c r="D17" s="21"/>
      <c r="E17" s="284">
        <f>C98</f>
        <v>1272.7175681594533</v>
      </c>
      <c r="F17" s="122"/>
      <c r="G17" s="122"/>
      <c r="H17" s="322" t="s">
        <v>904</v>
      </c>
      <c r="I17" s="322"/>
      <c r="J17" s="283">
        <f>E7*((1+$J$13)^7)</f>
        <v>2063.4622690923488</v>
      </c>
      <c r="K17" s="122"/>
      <c r="L17" s="322" t="s">
        <v>904</v>
      </c>
      <c r="M17" s="322"/>
      <c r="N17" s="283">
        <f>E7*((1+$N$13)^7)</f>
        <v>1445.3151974582136</v>
      </c>
    </row>
    <row r="18" spans="1:14" x14ac:dyDescent="0.45">
      <c r="B18" s="21" t="s">
        <v>903</v>
      </c>
      <c r="C18" s="21"/>
      <c r="D18" s="21"/>
      <c r="E18" s="283">
        <f>$E$6*((1+$E$15)^7)</f>
        <v>312.74909351007216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1514.176815536232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C104</f>
        <v>0.13164590161622911</v>
      </c>
      <c r="F21" s="122"/>
      <c r="G21" s="122"/>
      <c r="H21" s="315" t="s">
        <v>910</v>
      </c>
      <c r="I21" s="323" t="str">
        <f>Output_Etapa1!$B$13</f>
        <v xml:space="preserve">Outros transportes </v>
      </c>
      <c r="J21" s="324">
        <f>E5+INDEX(Output_Etapa1!$B$5:$R$14,MATCH(I21,Output_Etapa1!$B$5:$B$14,0),MATCH(H21,Output_Etapa1!$B$5:$R$5,0))</f>
        <v>-6.5055707598306034E-3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C105</f>
        <v>341.9802209416427</v>
      </c>
      <c r="F22" s="122"/>
      <c r="G22" s="122"/>
      <c r="H22" s="321" t="s">
        <v>897</v>
      </c>
      <c r="I22" s="321"/>
      <c r="J22" s="284">
        <f>E6*((1+$J$21)^4)</f>
        <v>203.15172480245121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C106</f>
        <v>1655.6995133388521</v>
      </c>
      <c r="F23" s="122"/>
      <c r="G23" s="122"/>
      <c r="H23" s="322" t="s">
        <v>874</v>
      </c>
      <c r="I23" s="322"/>
      <c r="J23" s="284">
        <f>E7*((1+$J$21)^4)</f>
        <v>983.56042628197724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495.60154696428924</v>
      </c>
      <c r="F24" s="122"/>
      <c r="G24" s="122"/>
      <c r="H24" s="322" t="s">
        <v>903</v>
      </c>
      <c r="I24" s="322"/>
      <c r="J24" s="283">
        <f>E6*((1+$J$21)^7)</f>
        <v>199.21260874299108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2399.4581846263613</v>
      </c>
      <c r="F25" s="122"/>
      <c r="G25" s="122"/>
      <c r="H25" s="322" t="s">
        <v>904</v>
      </c>
      <c r="I25" s="322"/>
      <c r="J25" s="283">
        <f>E7*((1+$J$21)^7)</f>
        <v>964.48916969095251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  <c r="D31" t="s">
        <v>900</v>
      </c>
      <c r="E31" s="18">
        <f>Aux!A9</f>
        <v>1.0785319545600001</v>
      </c>
    </row>
    <row r="32" spans="1:14" ht="28.5" x14ac:dyDescent="0.45">
      <c r="A32" s="24"/>
      <c r="B32" s="117" t="s">
        <v>871</v>
      </c>
      <c r="C32" s="161">
        <f>'Cenario B benchmark va'!C12</f>
        <v>5.9615211794127675E-2</v>
      </c>
    </row>
    <row r="33" spans="1:13" ht="28.5" x14ac:dyDescent="0.45">
      <c r="A33" s="24"/>
      <c r="B33" s="117" t="s">
        <v>872</v>
      </c>
      <c r="C33" s="161">
        <f>'Cenario B benchmark va'!D12</f>
        <v>0.13164590161622911</v>
      </c>
    </row>
    <row r="34" spans="1:13" x14ac:dyDescent="0.45">
      <c r="A34" s="24"/>
      <c r="B34" s="116" t="s">
        <v>756</v>
      </c>
      <c r="C34" s="115">
        <v>3.1E-2</v>
      </c>
    </row>
    <row r="35" spans="1:13" x14ac:dyDescent="0.45">
      <c r="A35" s="24"/>
      <c r="B35" s="116" t="s">
        <v>745</v>
      </c>
      <c r="C35" s="164" t="str">
        <f>IF(D67&lt;3%,"produto disruptivo", "produto representativo")</f>
        <v>produto representativo</v>
      </c>
    </row>
    <row r="36" spans="1:13" x14ac:dyDescent="0.45">
      <c r="A36" s="24"/>
    </row>
    <row r="37" spans="1:13" x14ac:dyDescent="0.45">
      <c r="A37" s="24"/>
      <c r="B37" s="76" t="s">
        <v>832</v>
      </c>
      <c r="C37" s="7" t="s">
        <v>750</v>
      </c>
      <c r="D37" s="7"/>
      <c r="E37" s="7"/>
      <c r="F37" s="7"/>
      <c r="G37" s="7"/>
    </row>
    <row r="38" spans="1:13" x14ac:dyDescent="0.45">
      <c r="A38" s="24"/>
    </row>
    <row r="39" spans="1:13" x14ac:dyDescent="0.45">
      <c r="A39" s="24"/>
      <c r="B39" s="167" t="s">
        <v>747</v>
      </c>
      <c r="C39" s="6" t="s">
        <v>748</v>
      </c>
      <c r="D39" s="6"/>
      <c r="E39" s="6"/>
      <c r="F39" s="6"/>
      <c r="G39" s="6"/>
    </row>
    <row r="40" spans="1:13" ht="14" customHeight="1" x14ac:dyDescent="0.45">
      <c r="A40" s="24"/>
      <c r="B40" s="23"/>
      <c r="C40" s="23"/>
      <c r="D40" s="23"/>
      <c r="E40" s="23"/>
      <c r="F40" s="23"/>
      <c r="G40" s="23"/>
    </row>
    <row r="41" spans="1:13" x14ac:dyDescent="0.45">
      <c r="A41" s="24"/>
      <c r="B41" s="89" t="s">
        <v>185</v>
      </c>
      <c r="C41" s="5" t="s">
        <v>749</v>
      </c>
      <c r="D41" s="5"/>
      <c r="E41" s="5"/>
      <c r="F41" s="5"/>
      <c r="G41" s="5"/>
    </row>
    <row r="42" spans="1:13" ht="14" customHeight="1" x14ac:dyDescent="0.45">
      <c r="A42" s="24"/>
      <c r="B42" s="23"/>
      <c r="C42" s="165"/>
      <c r="D42" s="23"/>
      <c r="E42" s="23"/>
      <c r="F42" s="23"/>
      <c r="G42" s="23"/>
    </row>
    <row r="43" spans="1:13" ht="14" customHeight="1" x14ac:dyDescent="0.45">
      <c r="A43" s="24"/>
      <c r="B43" s="166" t="s">
        <v>746</v>
      </c>
      <c r="C43" s="165"/>
      <c r="D43" s="23"/>
      <c r="E43" s="23"/>
      <c r="F43" s="23"/>
      <c r="G43" s="23"/>
    </row>
    <row r="44" spans="1:13" x14ac:dyDescent="0.45">
      <c r="A44" s="24"/>
    </row>
    <row r="45" spans="1:13" x14ac:dyDescent="0.45">
      <c r="A45" s="24" t="s">
        <v>49</v>
      </c>
      <c r="B45" s="74" t="s">
        <v>230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x14ac:dyDescent="0.45">
      <c r="A46" s="24"/>
      <c r="B46" s="75" t="s">
        <v>228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3" x14ac:dyDescent="0.45">
      <c r="A47" s="24"/>
      <c r="B47" s="20" t="s">
        <v>44</v>
      </c>
      <c r="C47" s="25">
        <v>2016</v>
      </c>
      <c r="D47" s="25">
        <v>2017</v>
      </c>
      <c r="E47" s="25">
        <v>2018</v>
      </c>
      <c r="F47" s="25">
        <v>2019</v>
      </c>
      <c r="G47" s="25">
        <v>2020</v>
      </c>
      <c r="H47" s="25">
        <v>2021</v>
      </c>
      <c r="I47" s="25" t="s">
        <v>43</v>
      </c>
      <c r="K47" s="24"/>
      <c r="L47" s="24"/>
    </row>
    <row r="48" spans="1:13" x14ac:dyDescent="0.45">
      <c r="A48" s="24"/>
      <c r="B48" s="106" t="s">
        <v>255</v>
      </c>
      <c r="C48" s="107">
        <v>11518346</v>
      </c>
      <c r="D48" s="107">
        <v>11772218</v>
      </c>
      <c r="E48" s="107">
        <v>10065293</v>
      </c>
      <c r="F48" s="107">
        <v>11810640</v>
      </c>
      <c r="G48" s="107">
        <v>7201477</v>
      </c>
      <c r="H48" s="107">
        <v>10982864</v>
      </c>
      <c r="I48" s="83">
        <f>C48*$C$28</f>
        <v>15691043.937486637</v>
      </c>
      <c r="K48" s="24"/>
      <c r="L48" s="24"/>
    </row>
    <row r="49" spans="1:12" x14ac:dyDescent="0.45">
      <c r="A49" s="24"/>
      <c r="B49" s="103" t="s">
        <v>256</v>
      </c>
      <c r="C49" s="105">
        <v>2617211</v>
      </c>
      <c r="D49" s="105">
        <v>2783475</v>
      </c>
      <c r="E49" s="105">
        <v>2292915</v>
      </c>
      <c r="F49" s="105">
        <v>1638340</v>
      </c>
      <c r="G49" s="105">
        <v>1424572</v>
      </c>
      <c r="H49" s="105">
        <v>1994329</v>
      </c>
      <c r="I49" s="82">
        <f>C49*$C$28</f>
        <v>3565335.9253727351</v>
      </c>
      <c r="K49" s="24"/>
      <c r="L49" s="24"/>
    </row>
    <row r="50" spans="1:12" x14ac:dyDescent="0.45">
      <c r="A50" s="24"/>
      <c r="B50" s="99" t="s">
        <v>257</v>
      </c>
      <c r="C50" s="108">
        <v>1271342</v>
      </c>
      <c r="D50" s="108">
        <v>1053398</v>
      </c>
      <c r="E50" s="108" t="s">
        <v>34</v>
      </c>
      <c r="F50" s="108" t="s">
        <v>34</v>
      </c>
      <c r="G50" s="108" t="s">
        <v>34</v>
      </c>
      <c r="H50" s="108" t="s">
        <v>34</v>
      </c>
      <c r="I50" s="82">
        <f>C50*$C$28</f>
        <v>1731905.1868707659</v>
      </c>
      <c r="K50" s="24"/>
      <c r="L50" s="24"/>
    </row>
    <row r="51" spans="1:12" x14ac:dyDescent="0.45">
      <c r="A51" s="24"/>
      <c r="B51" s="99" t="s">
        <v>258</v>
      </c>
      <c r="C51" s="108">
        <v>987617</v>
      </c>
      <c r="D51" s="108">
        <v>605399</v>
      </c>
      <c r="E51" s="108" t="s">
        <v>34</v>
      </c>
      <c r="F51" s="108" t="s">
        <v>34</v>
      </c>
      <c r="G51" s="108" t="s">
        <v>34</v>
      </c>
      <c r="H51" s="108" t="s">
        <v>34</v>
      </c>
      <c r="I51" s="82">
        <f>C51*$C$28</f>
        <v>1345396.4432400921</v>
      </c>
      <c r="K51" s="24"/>
      <c r="L51" s="24"/>
    </row>
    <row r="52" spans="1:12" x14ac:dyDescent="0.45">
      <c r="A52" s="24"/>
      <c r="B52" s="99" t="s">
        <v>259</v>
      </c>
      <c r="C52" s="108">
        <v>283725</v>
      </c>
      <c r="D52" s="108">
        <v>447999</v>
      </c>
      <c r="E52" s="108">
        <v>485238</v>
      </c>
      <c r="F52" s="108">
        <v>344868</v>
      </c>
      <c r="G52" s="108">
        <v>335849</v>
      </c>
      <c r="H52" s="108">
        <v>455302</v>
      </c>
      <c r="I52" s="82">
        <f>C52*$C$28</f>
        <v>386508.74363067374</v>
      </c>
      <c r="K52" s="24"/>
      <c r="L52" s="24"/>
    </row>
    <row r="53" spans="1:12" x14ac:dyDescent="0.45">
      <c r="A53" s="24"/>
      <c r="B53" s="103" t="s">
        <v>260</v>
      </c>
      <c r="C53" s="105" t="s">
        <v>34</v>
      </c>
      <c r="D53" s="105" t="s">
        <v>34</v>
      </c>
      <c r="E53" s="105">
        <v>3191397</v>
      </c>
      <c r="F53" s="105">
        <v>5107609</v>
      </c>
      <c r="G53" s="105">
        <v>1104004</v>
      </c>
      <c r="H53" s="105">
        <v>3464949</v>
      </c>
      <c r="I53" s="82"/>
      <c r="K53" s="24"/>
      <c r="L53" s="24"/>
    </row>
    <row r="54" spans="1:12" x14ac:dyDescent="0.45">
      <c r="A54" s="24"/>
      <c r="B54" s="103" t="s">
        <v>261</v>
      </c>
      <c r="C54" s="105" t="s">
        <v>34</v>
      </c>
      <c r="D54" s="105" t="s">
        <v>34</v>
      </c>
      <c r="E54" s="105">
        <v>2671649</v>
      </c>
      <c r="F54" s="105">
        <v>4470758</v>
      </c>
      <c r="G54" s="105">
        <v>673637</v>
      </c>
      <c r="H54" s="105">
        <v>3036690</v>
      </c>
      <c r="I54" s="82"/>
      <c r="K54" s="24"/>
      <c r="L54" s="24"/>
    </row>
    <row r="55" spans="1:12" x14ac:dyDescent="0.45">
      <c r="A55" s="24"/>
      <c r="B55" s="103" t="s">
        <v>262</v>
      </c>
      <c r="C55" s="105">
        <v>380601</v>
      </c>
      <c r="D55" s="105">
        <v>582458</v>
      </c>
      <c r="E55" s="105">
        <v>519748</v>
      </c>
      <c r="F55" s="105">
        <v>636851</v>
      </c>
      <c r="G55" s="105">
        <v>430367</v>
      </c>
      <c r="H55" s="105">
        <v>428259</v>
      </c>
      <c r="I55" s="82"/>
      <c r="K55" s="24"/>
      <c r="L55" s="24"/>
    </row>
    <row r="56" spans="1:12" x14ac:dyDescent="0.45">
      <c r="A56" s="24"/>
      <c r="B56" s="103" t="s">
        <v>263</v>
      </c>
      <c r="C56" s="105">
        <v>2431898</v>
      </c>
      <c r="D56" s="105">
        <v>3129035</v>
      </c>
      <c r="E56" s="105">
        <v>3351064</v>
      </c>
      <c r="F56" s="105">
        <v>3981170</v>
      </c>
      <c r="G56" s="105">
        <v>3510735</v>
      </c>
      <c r="H56" s="105">
        <v>4435537</v>
      </c>
      <c r="I56" s="82"/>
      <c r="K56" s="24"/>
      <c r="L56" s="24"/>
    </row>
    <row r="57" spans="1:12" x14ac:dyDescent="0.45">
      <c r="A57" s="24"/>
      <c r="B57" s="103" t="s">
        <v>264</v>
      </c>
      <c r="C57" s="105">
        <v>1969380</v>
      </c>
      <c r="D57" s="105">
        <v>2644581</v>
      </c>
      <c r="E57" s="105">
        <v>2797628</v>
      </c>
      <c r="F57" s="105">
        <v>3323382</v>
      </c>
      <c r="G57" s="105">
        <v>2670287</v>
      </c>
      <c r="H57" s="105">
        <v>3396491</v>
      </c>
      <c r="I57" s="82">
        <f>C57*$C$28</f>
        <v>2682818.184972689</v>
      </c>
      <c r="K57" s="24"/>
      <c r="L57" s="24"/>
    </row>
    <row r="58" spans="1:12" x14ac:dyDescent="0.45">
      <c r="A58" s="24"/>
      <c r="B58" s="2" t="s">
        <v>265</v>
      </c>
      <c r="C58" s="93">
        <v>390807</v>
      </c>
      <c r="D58" s="93">
        <v>392459</v>
      </c>
      <c r="E58" s="93">
        <v>451655</v>
      </c>
      <c r="F58" s="93">
        <v>539153</v>
      </c>
      <c r="G58" s="93">
        <v>609742</v>
      </c>
      <c r="H58" s="93">
        <v>859120</v>
      </c>
      <c r="I58" s="11"/>
      <c r="K58" s="24"/>
      <c r="L58" s="24"/>
    </row>
    <row r="59" spans="1:12" x14ac:dyDescent="0.45">
      <c r="A59" s="24"/>
      <c r="B59" s="2" t="s">
        <v>266</v>
      </c>
      <c r="C59" s="93">
        <v>71711</v>
      </c>
      <c r="D59" s="93">
        <v>91995</v>
      </c>
      <c r="E59" s="93">
        <v>101781</v>
      </c>
      <c r="F59" s="93">
        <v>118635</v>
      </c>
      <c r="G59" s="93">
        <v>230706</v>
      </c>
      <c r="H59" s="93">
        <v>179926</v>
      </c>
      <c r="I59" s="11"/>
      <c r="K59" s="24"/>
      <c r="L59" s="24"/>
    </row>
    <row r="60" spans="1:12" x14ac:dyDescent="0.45">
      <c r="A60" s="24"/>
      <c r="B60" s="109" t="s">
        <v>267</v>
      </c>
      <c r="C60" s="110">
        <f>C50/C48</f>
        <v>0.11037539591187832</v>
      </c>
      <c r="D60" s="110">
        <f>D50/D48</f>
        <v>8.9481693254406261E-2</v>
      </c>
      <c r="E60" s="93"/>
      <c r="F60" s="93"/>
      <c r="G60" s="93"/>
      <c r="H60" s="110">
        <f>AVERAGE(C60:D60)</f>
        <v>9.9928544583142292E-2</v>
      </c>
      <c r="I60" s="11"/>
      <c r="K60" s="24"/>
      <c r="L60" s="24"/>
    </row>
    <row r="61" spans="1:12" x14ac:dyDescent="0.45">
      <c r="A61" s="24"/>
      <c r="B61" s="109" t="s">
        <v>789</v>
      </c>
      <c r="C61" s="111">
        <f>C60*C48</f>
        <v>1271342</v>
      </c>
      <c r="D61" s="111">
        <f t="shared" ref="D61:H61" si="0">D60*D48</f>
        <v>1053398</v>
      </c>
      <c r="E61" s="111"/>
      <c r="F61" s="111"/>
      <c r="G61" s="111"/>
      <c r="H61" s="111">
        <f t="shared" si="0"/>
        <v>1097501.6148745886</v>
      </c>
      <c r="I61" s="11"/>
      <c r="K61" s="24"/>
      <c r="L61" s="24"/>
    </row>
    <row r="62" spans="1:12" x14ac:dyDescent="0.45">
      <c r="A62" s="24"/>
      <c r="C62" s="14"/>
      <c r="D62" s="14"/>
      <c r="E62" s="14"/>
      <c r="F62" s="14"/>
      <c r="G62" s="14"/>
      <c r="H62" s="24"/>
      <c r="I62" s="24"/>
      <c r="K62" s="24"/>
      <c r="L62" s="24"/>
    </row>
    <row r="63" spans="1:12" x14ac:dyDescent="0.45">
      <c r="A63" s="24"/>
      <c r="B63" s="75" t="s">
        <v>184</v>
      </c>
      <c r="C63" s="24"/>
      <c r="D63" s="24"/>
      <c r="E63" s="24"/>
      <c r="F63" s="24"/>
      <c r="G63" s="90"/>
      <c r="H63" s="90"/>
      <c r="I63" s="90"/>
      <c r="J63" s="24"/>
      <c r="K63" s="24"/>
    </row>
    <row r="64" spans="1:12" x14ac:dyDescent="0.45">
      <c r="A64" s="24"/>
      <c r="B64" s="170" t="s">
        <v>44</v>
      </c>
      <c r="C64" s="171" t="s">
        <v>43</v>
      </c>
      <c r="D64" s="171" t="s">
        <v>902</v>
      </c>
      <c r="E64" s="171" t="s">
        <v>48</v>
      </c>
      <c r="F64" s="171" t="s">
        <v>39</v>
      </c>
      <c r="G64" s="90"/>
      <c r="I64" s="90"/>
      <c r="J64" s="24"/>
      <c r="K64" s="24"/>
    </row>
    <row r="65" spans="1:13" x14ac:dyDescent="0.45">
      <c r="A65" s="24"/>
      <c r="B65" s="22" t="s">
        <v>268</v>
      </c>
      <c r="C65" s="84">
        <f>C48*$C$31*$C$30/1000</f>
        <v>3772.7318669997685</v>
      </c>
      <c r="D65" s="84">
        <f>F48*$E$31*$C$30/1000</f>
        <v>3649.7784631281238</v>
      </c>
      <c r="E65" s="94">
        <f>D65-C65</f>
        <v>-122.9534038716447</v>
      </c>
      <c r="F65" s="95">
        <f>IF(((D65/C65)^(1/5)-1)&lt;0,0,((D65/C65)^(1/5)-1))</f>
        <v>0</v>
      </c>
      <c r="G65" s="90"/>
      <c r="H65" s="90"/>
      <c r="J65" s="90"/>
      <c r="K65" s="24"/>
      <c r="L65" s="24"/>
    </row>
    <row r="66" spans="1:13" x14ac:dyDescent="0.45">
      <c r="A66" s="24"/>
      <c r="B66" s="22" t="s">
        <v>269</v>
      </c>
      <c r="C66" s="84">
        <f>C61*$C$31*$C$30/1000</f>
        <v>416.41677348945939</v>
      </c>
      <c r="D66" s="84">
        <f>H61*$C$29/1000</f>
        <v>208.52530682617183</v>
      </c>
      <c r="E66" s="94">
        <f>D66-C66</f>
        <v>-207.89146666328756</v>
      </c>
      <c r="F66" s="96">
        <f>(D66/C66)^(1/5)-1</f>
        <v>-0.12918457981327436</v>
      </c>
      <c r="G66" s="24"/>
      <c r="H66" s="24"/>
      <c r="I66" s="90"/>
      <c r="J66" s="14"/>
      <c r="M66" s="14"/>
    </row>
    <row r="67" spans="1:13" x14ac:dyDescent="0.45">
      <c r="A67" s="24"/>
      <c r="B67" t="s">
        <v>231</v>
      </c>
      <c r="C67" s="14">
        <f>C66/C65</f>
        <v>0.11037539591187834</v>
      </c>
      <c r="D67" s="14">
        <f>D66/D65</f>
        <v>5.7133688779414459E-2</v>
      </c>
      <c r="E67" s="14"/>
      <c r="F67" s="14"/>
      <c r="G67" s="14"/>
      <c r="H67" s="14"/>
      <c r="I67" s="14"/>
      <c r="J67" s="14"/>
      <c r="M67" s="14"/>
    </row>
    <row r="68" spans="1:13" x14ac:dyDescent="0.45">
      <c r="A68" s="24"/>
      <c r="C68" s="14"/>
      <c r="D68" s="14"/>
      <c r="E68" s="14"/>
      <c r="F68" s="14"/>
      <c r="G68" s="14"/>
      <c r="H68" s="14"/>
      <c r="I68" s="14"/>
      <c r="J68" s="14"/>
      <c r="M68" s="14"/>
    </row>
    <row r="69" spans="1:13" x14ac:dyDescent="0.45">
      <c r="A69" s="24" t="s">
        <v>50</v>
      </c>
      <c r="B69" s="74" t="s">
        <v>786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 spans="1:13" x14ac:dyDescent="0.45">
      <c r="A70" s="24"/>
      <c r="B70" s="75" t="s">
        <v>783</v>
      </c>
      <c r="C70" s="127"/>
      <c r="D70" s="127"/>
      <c r="E70" s="127"/>
      <c r="F70" s="127"/>
      <c r="G70" s="127"/>
      <c r="H70" s="127"/>
      <c r="I70" s="124"/>
      <c r="J70" s="24"/>
      <c r="K70" s="24"/>
    </row>
    <row r="71" spans="1:13" x14ac:dyDescent="0.45">
      <c r="A71" s="24"/>
      <c r="B71" s="20" t="s">
        <v>44</v>
      </c>
      <c r="C71" s="25">
        <v>2016</v>
      </c>
      <c r="D71" s="25">
        <v>2017</v>
      </c>
      <c r="E71" s="25">
        <v>2018</v>
      </c>
      <c r="F71" s="25">
        <v>2019</v>
      </c>
      <c r="G71" s="25">
        <v>2020</v>
      </c>
      <c r="H71" s="25">
        <v>2021</v>
      </c>
      <c r="J71" s="183" t="s">
        <v>782</v>
      </c>
      <c r="K71" s="24"/>
    </row>
    <row r="72" spans="1:13" x14ac:dyDescent="0.45">
      <c r="A72" s="24"/>
      <c r="B72" s="106" t="s">
        <v>255</v>
      </c>
      <c r="C72" s="78">
        <f>VLOOKUP($B72,'Dados IBGE - VPB'!$A$4:$G$423,2,FALSE)</f>
        <v>44978379</v>
      </c>
      <c r="D72" s="78">
        <f>VLOOKUP($B72,'Dados IBGE - VPB'!$A$4:$G$423,3,FALSE)</f>
        <v>39659061</v>
      </c>
      <c r="E72" s="78">
        <f>VLOOKUP($B72,'Dados IBGE - VPB'!$A$4:$G$423,4,FALSE)</f>
        <v>39577934</v>
      </c>
      <c r="F72" s="78">
        <f>VLOOKUP($B72,'Dados IBGE - VPB'!$A$4:$G$423,5,FALSE)</f>
        <v>40893860</v>
      </c>
      <c r="G72" s="78">
        <f>VLOOKUP($B72,'Dados IBGE - VPB'!$A$4:$G$423,6,FALSE)</f>
        <v>39942471</v>
      </c>
      <c r="H72" s="78">
        <f>VLOOKUP($B72,'Dados IBGE - VPB'!$A$4:$G$423,7,FALSE)</f>
        <v>48283439</v>
      </c>
      <c r="J72" s="11">
        <f t="shared" ref="J72" si="1">H72*$C$29/1000</f>
        <v>9173.8534099999997</v>
      </c>
      <c r="K72" s="24"/>
    </row>
    <row r="73" spans="1:13" x14ac:dyDescent="0.45">
      <c r="A73" s="24"/>
      <c r="B73" s="99" t="s">
        <v>257</v>
      </c>
      <c r="C73" s="186">
        <f>VLOOKUP($B73,'Dados IBGE - VPB'!$A$4:$G$423,2,FALSE)</f>
        <v>5467314</v>
      </c>
      <c r="D73" s="186">
        <f>VLOOKUP($B73,'Dados IBGE - VPB'!$A$4:$G$423,3,FALSE)</f>
        <v>4133070</v>
      </c>
      <c r="E73" s="186" t="str">
        <f>VLOOKUP($B73,'Dados IBGE - VPB'!$A$4:$G$423,4,FALSE)</f>
        <v>X</v>
      </c>
      <c r="F73" s="186" t="str">
        <f>VLOOKUP($B73,'Dados IBGE - VPB'!$A$4:$G$423,5,FALSE)</f>
        <v>X</v>
      </c>
      <c r="G73" s="186" t="str">
        <f>VLOOKUP($B73,'Dados IBGE - VPB'!$A$4:$G$423,6,FALSE)</f>
        <v>X</v>
      </c>
      <c r="H73" s="186" t="str">
        <f>VLOOKUP($B73,'Dados IBGE - VPB'!$A$4:$G$423,7,FALSE)</f>
        <v>X</v>
      </c>
      <c r="J73" s="11"/>
      <c r="K73" s="24"/>
    </row>
    <row r="74" spans="1:13" x14ac:dyDescent="0.45">
      <c r="A74" s="24"/>
      <c r="B74" s="22" t="s">
        <v>269</v>
      </c>
      <c r="C74" s="184"/>
      <c r="D74" s="184"/>
      <c r="E74" s="184"/>
      <c r="F74" s="184"/>
      <c r="G74" s="184"/>
      <c r="H74" s="185">
        <f>H75*H72</f>
        <v>5313561.3651368031</v>
      </c>
      <c r="J74" s="187">
        <f>H74*$C$29/1000</f>
        <v>1009.5766593759926</v>
      </c>
      <c r="K74" s="24"/>
    </row>
    <row r="75" spans="1:13" x14ac:dyDescent="0.45">
      <c r="A75" s="24"/>
      <c r="B75" s="109"/>
      <c r="C75" s="130">
        <f>C73/C72</f>
        <v>0.12155426944132425</v>
      </c>
      <c r="D75" s="130">
        <f>D73/D72</f>
        <v>0.10421502415299243</v>
      </c>
      <c r="E75" s="130"/>
      <c r="F75" s="130"/>
      <c r="G75" s="130"/>
      <c r="H75" s="130">
        <f>(C75*H60)/C60</f>
        <v>0.1100493559528103</v>
      </c>
      <c r="I75" s="11"/>
      <c r="J75" s="182"/>
      <c r="K75" s="24"/>
    </row>
    <row r="76" spans="1:13" x14ac:dyDescent="0.45">
      <c r="A76" s="24" t="s">
        <v>784</v>
      </c>
      <c r="B76" s="21" t="s">
        <v>877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 spans="1:13" x14ac:dyDescent="0.45">
      <c r="B77" s="73" t="s">
        <v>229</v>
      </c>
    </row>
    <row r="78" spans="1:13" x14ac:dyDescent="0.45">
      <c r="B78" s="73"/>
    </row>
    <row r="79" spans="1:13" x14ac:dyDescent="0.45">
      <c r="B79" t="s">
        <v>817</v>
      </c>
      <c r="C79">
        <f>2026-2021</f>
        <v>5</v>
      </c>
    </row>
    <row r="80" spans="1:13" x14ac:dyDescent="0.45">
      <c r="B80" t="s">
        <v>818</v>
      </c>
      <c r="C80">
        <f>2030-2026</f>
        <v>4</v>
      </c>
    </row>
    <row r="81" spans="2:5" x14ac:dyDescent="0.45">
      <c r="B81" s="73"/>
    </row>
    <row r="82" spans="2:5" x14ac:dyDescent="0.45">
      <c r="B82" s="1" t="s">
        <v>858</v>
      </c>
    </row>
    <row r="83" spans="2:5" x14ac:dyDescent="0.45">
      <c r="B83" s="270" t="s">
        <v>852</v>
      </c>
      <c r="C83" s="271"/>
      <c r="D83" s="271"/>
      <c r="E83" s="271"/>
    </row>
    <row r="84" spans="2:5" x14ac:dyDescent="0.45">
      <c r="B84" s="23" t="s">
        <v>862</v>
      </c>
      <c r="C84" s="85">
        <f>F65</f>
        <v>0</v>
      </c>
      <c r="D84" s="85"/>
    </row>
    <row r="85" spans="2:5" x14ac:dyDescent="0.45">
      <c r="B85" s="23" t="s">
        <v>863</v>
      </c>
      <c r="C85" s="87">
        <f>D66*((1+C84)^C79)</f>
        <v>208.52530682617183</v>
      </c>
      <c r="D85" s="98"/>
      <c r="E85" s="98"/>
    </row>
    <row r="86" spans="2:5" x14ac:dyDescent="0.45">
      <c r="B86" s="23" t="s">
        <v>864</v>
      </c>
      <c r="C86" s="178">
        <f>J74*((1+C84)^C79)</f>
        <v>1009.5766593759926</v>
      </c>
      <c r="D86" s="85"/>
    </row>
    <row r="87" spans="2:5" x14ac:dyDescent="0.45">
      <c r="B87" s="23"/>
      <c r="C87" s="178"/>
      <c r="D87" s="85"/>
    </row>
    <row r="88" spans="2:5" x14ac:dyDescent="0.45">
      <c r="B88" s="1" t="s">
        <v>859</v>
      </c>
    </row>
    <row r="89" spans="2:5" x14ac:dyDescent="0.45">
      <c r="B89" s="270" t="s">
        <v>852</v>
      </c>
      <c r="C89" s="271"/>
      <c r="D89" s="271"/>
      <c r="E89" s="271"/>
    </row>
    <row r="90" spans="2:5" x14ac:dyDescent="0.45">
      <c r="B90" s="23" t="s">
        <v>862</v>
      </c>
      <c r="C90" s="85">
        <f>F65</f>
        <v>0</v>
      </c>
      <c r="D90" s="85"/>
    </row>
    <row r="91" spans="2:5" x14ac:dyDescent="0.45">
      <c r="B91" s="23" t="s">
        <v>880</v>
      </c>
      <c r="C91" s="87">
        <f>C85*((1+C90)^C80)</f>
        <v>208.52530682617183</v>
      </c>
      <c r="D91" s="98"/>
      <c r="E91" s="98"/>
    </row>
    <row r="92" spans="2:5" x14ac:dyDescent="0.45">
      <c r="B92" s="23" t="s">
        <v>881</v>
      </c>
      <c r="C92" s="178">
        <f>C86*((1+C90)^C80)</f>
        <v>1009.5766593759926</v>
      </c>
      <c r="D92" s="85"/>
    </row>
    <row r="93" spans="2:5" x14ac:dyDescent="0.45">
      <c r="B93" s="23"/>
      <c r="C93" s="178"/>
      <c r="D93" s="85"/>
    </row>
    <row r="94" spans="2:5" x14ac:dyDescent="0.45">
      <c r="B94" s="1" t="s">
        <v>860</v>
      </c>
    </row>
    <row r="95" spans="2:5" x14ac:dyDescent="0.45">
      <c r="B95" s="270" t="s">
        <v>865</v>
      </c>
      <c r="C95" s="271"/>
      <c r="D95" s="271"/>
      <c r="E95" s="271"/>
    </row>
    <row r="96" spans="2:5" x14ac:dyDescent="0.45">
      <c r="B96" s="23" t="s">
        <v>866</v>
      </c>
      <c r="C96" s="144">
        <f>C84+C32</f>
        <v>5.9615211794127675E-2</v>
      </c>
      <c r="D96" s="85"/>
    </row>
    <row r="97" spans="2:5" ht="17" customHeight="1" x14ac:dyDescent="0.45">
      <c r="B97" s="23" t="s">
        <v>880</v>
      </c>
      <c r="C97" s="248">
        <f>C85*((1+C96)^C80)</f>
        <v>262.8763441971272</v>
      </c>
      <c r="D97" s="98"/>
      <c r="E97" s="98"/>
    </row>
    <row r="98" spans="2:5" ht="17" customHeight="1" x14ac:dyDescent="0.45">
      <c r="B98" s="23" t="s">
        <v>881</v>
      </c>
      <c r="C98" s="178">
        <f>C86*((1+C96)^C80)</f>
        <v>1272.7175681594533</v>
      </c>
      <c r="D98" s="85"/>
    </row>
    <row r="99" spans="2:5" ht="17" customHeight="1" x14ac:dyDescent="0.45"/>
    <row r="100" spans="2:5" ht="17" customHeight="1" x14ac:dyDescent="0.45">
      <c r="B100" s="274" t="s">
        <v>849</v>
      </c>
      <c r="C100" s="274" t="str">
        <f>C35</f>
        <v>produto representativo</v>
      </c>
    </row>
    <row r="101" spans="2:5" ht="17" customHeight="1" x14ac:dyDescent="0.45"/>
    <row r="102" spans="2:5" x14ac:dyDescent="0.45">
      <c r="B102" s="1" t="s">
        <v>861</v>
      </c>
    </row>
    <row r="103" spans="2:5" x14ac:dyDescent="0.45">
      <c r="B103" s="270" t="s">
        <v>882</v>
      </c>
      <c r="C103" s="271"/>
      <c r="D103" s="271"/>
      <c r="E103" s="271"/>
    </row>
    <row r="104" spans="2:5" ht="17" customHeight="1" x14ac:dyDescent="0.45">
      <c r="B104" s="23" t="s">
        <v>917</v>
      </c>
      <c r="C104" s="144">
        <f>IF(AND((C100="produto disruptivo"),(C34&gt;(C84+C33))),C34,(C84+C33))</f>
        <v>0.13164590161622911</v>
      </c>
      <c r="D104" s="85"/>
    </row>
    <row r="105" spans="2:5" ht="17" customHeight="1" x14ac:dyDescent="0.45">
      <c r="B105" s="23" t="s">
        <v>880</v>
      </c>
      <c r="C105" s="248">
        <f>C85*((1+C104)^C80)</f>
        <v>341.9802209416427</v>
      </c>
      <c r="D105" s="282"/>
    </row>
    <row r="106" spans="2:5" ht="17" customHeight="1" x14ac:dyDescent="0.45">
      <c r="B106" s="23" t="s">
        <v>881</v>
      </c>
      <c r="C106" s="178">
        <f>C86*((1+C104)^C80)</f>
        <v>1655.6995133388521</v>
      </c>
      <c r="D106" s="282"/>
      <c r="E106" s="11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E93D-AD24-4915-8098-9677005A08C4}">
  <dimension ref="A1:N101"/>
  <sheetViews>
    <sheetView showGridLines="0" zoomScale="84" zoomScaleNormal="100" workbookViewId="0"/>
  </sheetViews>
  <sheetFormatPr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8" width="16" customWidth="1"/>
    <col min="9" max="9" width="14.6640625" customWidth="1"/>
    <col min="10" max="10" width="16.33203125" customWidth="1"/>
    <col min="11" max="12" width="16.53125" customWidth="1"/>
    <col min="13" max="13" width="15.1328125" customWidth="1"/>
  </cols>
  <sheetData>
    <row r="1" spans="1:14" s="69" customFormat="1" ht="22.25" customHeight="1" thickBot="1" x14ac:dyDescent="0.6">
      <c r="A1" s="70" t="s">
        <v>271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C79</f>
        <v>5.356273913971199E-3</v>
      </c>
      <c r="F5" s="122"/>
      <c r="G5" s="122"/>
      <c r="H5" s="315" t="s">
        <v>908</v>
      </c>
      <c r="I5" s="323" t="str">
        <f>Output_Etapa1!$B$14</f>
        <v>Eletrônicos</v>
      </c>
      <c r="J5" s="324">
        <f>E5+INDEX(Output_Etapa1!$B$5:$R$14,MATCH(I5,Output_Etapa1!$B$5:$B$14,0),MATCH(H5,Output_Etapa1!$B$5:$R$5,0))</f>
        <v>4.6242208522982331E-2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C80</f>
        <v>220.01606757860117</v>
      </c>
      <c r="F6" s="122"/>
      <c r="G6" s="122"/>
      <c r="H6" s="321" t="s">
        <v>897</v>
      </c>
      <c r="I6" s="321"/>
      <c r="J6" s="284">
        <f>E6*((1+$J$5)^4)</f>
        <v>263.62302870038121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C81</f>
        <v>1104.0152066551348</v>
      </c>
      <c r="F7" s="122"/>
      <c r="G7" s="122"/>
      <c r="H7" s="322" t="s">
        <v>874</v>
      </c>
      <c r="I7" s="322"/>
      <c r="J7" s="284">
        <f>E7*((1+$J$5)^4)</f>
        <v>1322.8298992560071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301.91177783817807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C85</f>
        <v>5.356273913971199E-3</v>
      </c>
      <c r="F9" s="122"/>
      <c r="G9" s="122"/>
      <c r="H9" s="322" t="s">
        <v>904</v>
      </c>
      <c r="I9" s="322"/>
      <c r="J9" s="283">
        <f>E7*((1+$J$5)^7)</f>
        <v>1514.9584185825784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C86</f>
        <v>224.76794142319972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C87</f>
        <v>1127.8595605801927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228.39907750161626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1146.0801818835607</v>
      </c>
      <c r="F13" s="122"/>
      <c r="G13" s="122"/>
      <c r="H13" s="315" t="s">
        <v>909</v>
      </c>
      <c r="I13" s="323" t="str">
        <f>Output_Etapa1!$B$14</f>
        <v>Eletrônicos</v>
      </c>
      <c r="J13" s="324">
        <f>E5+INDEX(Output_Etapa1!$B$5:$R$14,MATCH(I13,Output_Etapa1!$B$5:$B$14,0),MATCH(H13,Output_Etapa1!$B$5:$R$5,0))</f>
        <v>0.13675867924516472</v>
      </c>
      <c r="K13" s="122"/>
      <c r="L13" s="315" t="s">
        <v>997</v>
      </c>
      <c r="M13" s="323" t="str">
        <f>Output_Etapa1!$B$14</f>
        <v>Eletrônicos</v>
      </c>
      <c r="N13" s="324">
        <f>INDEX(Output_Etapa1!$B$5:$R$14,MATCH(M13,Output_Etapa1!$B$5:$B$14,0),MATCH(L13,Output_Etapa1!$B$5:$R$5,0))</f>
        <v>0.23423273945647138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367.39015406439859</v>
      </c>
      <c r="K14" s="122"/>
      <c r="L14" s="321" t="s">
        <v>897</v>
      </c>
      <c r="M14" s="321"/>
      <c r="N14" s="284">
        <f>E6*((1+$N$13)^4)</f>
        <v>510.55513401608579</v>
      </c>
    </row>
    <row r="15" spans="1:14" x14ac:dyDescent="0.45">
      <c r="B15" s="168" t="s">
        <v>747</v>
      </c>
      <c r="C15" s="168"/>
      <c r="D15" s="6" t="s">
        <v>39</v>
      </c>
      <c r="E15" s="169">
        <f>C91</f>
        <v>1.7409931871750873E-2</v>
      </c>
      <c r="F15" s="122"/>
      <c r="G15" s="122"/>
      <c r="H15" s="322" t="s">
        <v>874</v>
      </c>
      <c r="I15" s="322"/>
      <c r="J15" s="284">
        <f>E7*((1+$J$13)^4)</f>
        <v>1843.5213451743284</v>
      </c>
      <c r="K15" s="122"/>
      <c r="L15" s="322" t="s">
        <v>874</v>
      </c>
      <c r="M15" s="322"/>
      <c r="N15" s="284">
        <f>E7*((1+$N$13)^4)</f>
        <v>2561.906673421659</v>
      </c>
    </row>
    <row r="16" spans="1:14" x14ac:dyDescent="0.45">
      <c r="B16" s="21" t="s">
        <v>232</v>
      </c>
      <c r="C16" s="21"/>
      <c r="D16" s="97"/>
      <c r="E16" s="284">
        <f>C92</f>
        <v>235.74271970603002</v>
      </c>
      <c r="F16" s="122"/>
      <c r="G16" s="122"/>
      <c r="H16" s="322" t="s">
        <v>903</v>
      </c>
      <c r="I16" s="322"/>
      <c r="J16" s="283">
        <f>E6*((1+$J$13)^7)</f>
        <v>539.67506122513464</v>
      </c>
      <c r="K16" s="122"/>
      <c r="L16" s="322" t="s">
        <v>903</v>
      </c>
      <c r="M16" s="322"/>
      <c r="N16" s="283">
        <f>E6*((1+$N$13)^7)</f>
        <v>959.91733565142613</v>
      </c>
    </row>
    <row r="17" spans="1:14" x14ac:dyDescent="0.45">
      <c r="B17" s="21" t="s">
        <v>874</v>
      </c>
      <c r="C17" s="21"/>
      <c r="D17" s="21"/>
      <c r="E17" s="284">
        <f>C93</f>
        <v>1182.9297299876364</v>
      </c>
      <c r="F17" s="122"/>
      <c r="G17" s="122"/>
      <c r="H17" s="322" t="s">
        <v>904</v>
      </c>
      <c r="I17" s="322"/>
      <c r="J17" s="283">
        <f>E7*((1+$J$13)^7)</f>
        <v>2708.0271036670333</v>
      </c>
      <c r="K17" s="122"/>
      <c r="L17" s="322" t="s">
        <v>904</v>
      </c>
      <c r="M17" s="322"/>
      <c r="N17" s="283">
        <f>E7*((1+$N$13)^7)</f>
        <v>4816.7542823319172</v>
      </c>
    </row>
    <row r="18" spans="1:14" x14ac:dyDescent="0.45">
      <c r="B18" s="21" t="s">
        <v>903</v>
      </c>
      <c r="C18" s="21"/>
      <c r="D18" s="21"/>
      <c r="E18" s="283">
        <f>$E$6*((1+$E$15)^7)</f>
        <v>248.27112270607068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1245.7958087216696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C99</f>
        <v>7.1999999999999995E-2</v>
      </c>
      <c r="F21" s="122"/>
      <c r="G21" s="122"/>
      <c r="H21" s="315" t="s">
        <v>910</v>
      </c>
      <c r="I21" s="323" t="str">
        <f>Output_Etapa1!$B$14</f>
        <v>Eletrônicos</v>
      </c>
      <c r="J21" s="324">
        <f>E5+INDEX(Output_Etapa1!$B$5:$R$14,MATCH(I21,Output_Etapa1!$B$5:$B$14,0),MATCH(H21,Output_Etapa1!$B$5:$R$5,0))</f>
        <v>1.3614389193871701E-2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C100</f>
        <v>290.55846971608736</v>
      </c>
      <c r="F22" s="122"/>
      <c r="G22" s="122"/>
      <c r="H22" s="321" t="s">
        <v>897</v>
      </c>
      <c r="I22" s="321"/>
      <c r="J22" s="284">
        <f>E6*((1+$J$21)^4)</f>
        <v>232.24451539787242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C101</f>
        <v>1457.9888301767155</v>
      </c>
      <c r="F23" s="122"/>
      <c r="G23" s="122"/>
      <c r="H23" s="322" t="s">
        <v>874</v>
      </c>
      <c r="I23" s="322"/>
      <c r="J23" s="284">
        <f>E7*((1+$J$21)^4)</f>
        <v>1165.376144948613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357.94631486349147</v>
      </c>
      <c r="F24" s="122"/>
      <c r="G24" s="122"/>
      <c r="H24" s="322" t="s">
        <v>903</v>
      </c>
      <c r="I24" s="322"/>
      <c r="J24" s="283">
        <f>E6*((1+$J$21)^7)</f>
        <v>241.85984379007408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1796.1332511966802</v>
      </c>
      <c r="F25" s="122"/>
      <c r="G25" s="122"/>
      <c r="H25" s="322" t="s">
        <v>904</v>
      </c>
      <c r="I25" s="322"/>
      <c r="J25" s="283">
        <f>E7*((1+$J$21)^7)</f>
        <v>1213.6247518744735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ht="28.25" customHeight="1" x14ac:dyDescent="0.45">
      <c r="A32" s="24"/>
      <c r="B32" s="117" t="s">
        <v>290</v>
      </c>
      <c r="C32" s="115">
        <v>0.4</v>
      </c>
    </row>
    <row r="33" spans="1:13" ht="28.5" x14ac:dyDescent="0.45">
      <c r="A33" s="24"/>
      <c r="B33" s="117" t="s">
        <v>885</v>
      </c>
      <c r="C33" s="161">
        <f>'Cenario B benchmark va'!C13</f>
        <v>1.2053657957779674E-2</v>
      </c>
    </row>
    <row r="34" spans="1:13" ht="28.5" x14ac:dyDescent="0.45">
      <c r="A34" s="24"/>
      <c r="B34" s="117" t="s">
        <v>886</v>
      </c>
      <c r="C34" s="161">
        <f>'Cenario B benchmark va'!D13</f>
        <v>2.5081259979173081E-2</v>
      </c>
    </row>
    <row r="35" spans="1:13" ht="28.25" customHeight="1" x14ac:dyDescent="0.45">
      <c r="A35" s="24"/>
      <c r="B35" s="117" t="s">
        <v>760</v>
      </c>
      <c r="C35" s="115">
        <v>7.1999999999999995E-2</v>
      </c>
    </row>
    <row r="36" spans="1:13" x14ac:dyDescent="0.45">
      <c r="A36" s="24"/>
      <c r="B36" s="116" t="s">
        <v>745</v>
      </c>
      <c r="C36" s="164" t="str">
        <f>IF(D62&lt;5%,"produto disruptivo", "produto representativo")</f>
        <v>produto disruptivo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790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45">
      <c r="A49" s="24"/>
      <c r="B49" s="106" t="s">
        <v>194</v>
      </c>
      <c r="C49" s="114">
        <v>15398310</v>
      </c>
      <c r="D49" s="114">
        <v>17294138</v>
      </c>
      <c r="E49" s="114">
        <v>17142424</v>
      </c>
      <c r="F49" s="114">
        <v>17371353</v>
      </c>
      <c r="G49" s="114">
        <v>19039949</v>
      </c>
      <c r="H49" s="114">
        <v>27263728</v>
      </c>
      <c r="I49" s="83">
        <f t="shared" ref="I49:I55" si="0">C49*$C$28</f>
        <v>20976584.55242097</v>
      </c>
      <c r="K49" s="24"/>
      <c r="L49" s="24"/>
    </row>
    <row r="50" spans="1:13" x14ac:dyDescent="0.45">
      <c r="A50" s="24"/>
      <c r="B50" s="103" t="s">
        <v>272</v>
      </c>
      <c r="C50" s="104">
        <v>916188</v>
      </c>
      <c r="D50" s="104">
        <v>1918226</v>
      </c>
      <c r="E50" s="104">
        <v>2196885</v>
      </c>
      <c r="F50" s="104">
        <v>1586940</v>
      </c>
      <c r="G50" s="104">
        <v>2002138</v>
      </c>
      <c r="H50" s="104">
        <v>2818648</v>
      </c>
      <c r="I50" s="82">
        <f t="shared" si="0"/>
        <v>1248091.1897418264</v>
      </c>
      <c r="K50" s="24"/>
      <c r="L50" s="24"/>
    </row>
    <row r="51" spans="1:13" x14ac:dyDescent="0.45">
      <c r="A51" s="24"/>
      <c r="B51" s="99" t="s">
        <v>273</v>
      </c>
      <c r="C51" s="100">
        <v>916188</v>
      </c>
      <c r="D51" s="100">
        <v>1918226</v>
      </c>
      <c r="E51" s="100">
        <v>2196885</v>
      </c>
      <c r="F51" s="100">
        <v>1586940</v>
      </c>
      <c r="G51" s="100">
        <v>2002138</v>
      </c>
      <c r="H51" s="100">
        <v>2818648</v>
      </c>
      <c r="I51" s="82">
        <f t="shared" si="0"/>
        <v>1248091.1897418264</v>
      </c>
      <c r="K51" s="24"/>
      <c r="L51" s="24"/>
    </row>
    <row r="52" spans="1:13" x14ac:dyDescent="0.45">
      <c r="A52" s="24"/>
      <c r="B52" s="103" t="s">
        <v>274</v>
      </c>
      <c r="C52" s="104">
        <v>2916262</v>
      </c>
      <c r="D52" s="104">
        <v>2991888</v>
      </c>
      <c r="E52" s="104">
        <v>3476957</v>
      </c>
      <c r="F52" s="104">
        <v>4063235</v>
      </c>
      <c r="G52" s="104">
        <v>3997016</v>
      </c>
      <c r="H52" s="104">
        <v>6284487</v>
      </c>
      <c r="I52" s="82">
        <f t="shared" si="0"/>
        <v>3972722.7481465358</v>
      </c>
      <c r="K52" s="24"/>
      <c r="L52" s="24"/>
    </row>
    <row r="53" spans="1:13" x14ac:dyDescent="0.45">
      <c r="A53" s="24"/>
      <c r="B53" s="103" t="s">
        <v>275</v>
      </c>
      <c r="C53" s="104">
        <v>868769</v>
      </c>
      <c r="D53" s="104">
        <v>1070252</v>
      </c>
      <c r="E53" s="104">
        <v>995509</v>
      </c>
      <c r="F53" s="104">
        <v>920256</v>
      </c>
      <c r="G53" s="104">
        <v>961999</v>
      </c>
      <c r="H53" s="104">
        <v>1237053</v>
      </c>
      <c r="I53" s="82">
        <f t="shared" si="0"/>
        <v>1183493.9279065179</v>
      </c>
      <c r="K53" s="24"/>
      <c r="L53" s="24"/>
    </row>
    <row r="54" spans="1:13" x14ac:dyDescent="0.45">
      <c r="A54" s="24"/>
      <c r="B54" s="103" t="s">
        <v>276</v>
      </c>
      <c r="C54" s="104">
        <v>868769</v>
      </c>
      <c r="D54" s="104">
        <v>1070252</v>
      </c>
      <c r="E54" s="104">
        <v>995509</v>
      </c>
      <c r="F54" s="104">
        <v>920256</v>
      </c>
      <c r="G54" s="104">
        <v>961999</v>
      </c>
      <c r="H54" s="104">
        <v>1237053</v>
      </c>
      <c r="I54" s="82">
        <f t="shared" si="0"/>
        <v>1183493.9279065179</v>
      </c>
      <c r="K54" s="24"/>
      <c r="L54" s="24"/>
    </row>
    <row r="55" spans="1:13" x14ac:dyDescent="0.45">
      <c r="A55" s="24"/>
      <c r="B55" s="101" t="s">
        <v>277</v>
      </c>
      <c r="C55" s="112">
        <v>4055081</v>
      </c>
      <c r="D55" s="112">
        <v>4792923</v>
      </c>
      <c r="E55" s="112">
        <v>5237891</v>
      </c>
      <c r="F55" s="112">
        <v>4615430</v>
      </c>
      <c r="G55" s="112">
        <v>2626997</v>
      </c>
      <c r="H55" s="112">
        <v>4433409</v>
      </c>
      <c r="I55" s="82">
        <f t="shared" si="0"/>
        <v>5524096.4406753583</v>
      </c>
      <c r="K55" s="24"/>
      <c r="L55" s="24"/>
    </row>
    <row r="56" spans="1:13" x14ac:dyDescent="0.45">
      <c r="A56" s="24"/>
      <c r="B56" s="3" t="s">
        <v>212</v>
      </c>
      <c r="C56" s="79">
        <f>C51*$C$32</f>
        <v>366475.2</v>
      </c>
      <c r="D56" s="79">
        <f t="shared" ref="D56:H56" si="1">D51*$C$32</f>
        <v>767290.4</v>
      </c>
      <c r="E56" s="79">
        <f t="shared" si="1"/>
        <v>878754</v>
      </c>
      <c r="F56" s="79">
        <f t="shared" si="1"/>
        <v>634776</v>
      </c>
      <c r="G56" s="79">
        <f t="shared" si="1"/>
        <v>800855.20000000007</v>
      </c>
      <c r="H56" s="79">
        <f t="shared" si="1"/>
        <v>1127459.2</v>
      </c>
      <c r="I56" s="11"/>
      <c r="K56" s="24"/>
      <c r="L56" s="24"/>
    </row>
    <row r="57" spans="1:13" x14ac:dyDescent="0.45">
      <c r="A57" s="24"/>
      <c r="B57" s="2"/>
      <c r="C57" s="78"/>
      <c r="D57" s="78"/>
      <c r="E57" s="78"/>
      <c r="F57" s="78"/>
      <c r="G57" s="78"/>
      <c r="H57" s="78"/>
      <c r="I57" s="11"/>
      <c r="K57" s="24"/>
      <c r="L57" s="24"/>
    </row>
    <row r="58" spans="1:13" x14ac:dyDescent="0.45">
      <c r="A58" s="24"/>
      <c r="B58" s="75" t="s">
        <v>184</v>
      </c>
      <c r="C58" s="24"/>
      <c r="D58" s="24"/>
      <c r="E58" s="24"/>
      <c r="F58" s="24"/>
      <c r="G58" s="90"/>
      <c r="H58" s="90"/>
      <c r="I58" s="90"/>
      <c r="J58" s="24"/>
      <c r="K58" s="24"/>
    </row>
    <row r="59" spans="1:13" x14ac:dyDescent="0.45">
      <c r="A59" s="24"/>
      <c r="B59" s="170" t="s">
        <v>44</v>
      </c>
      <c r="C59" s="171" t="s">
        <v>43</v>
      </c>
      <c r="D59" s="171">
        <v>2021</v>
      </c>
      <c r="E59" s="171" t="s">
        <v>48</v>
      </c>
      <c r="F59" s="171" t="s">
        <v>39</v>
      </c>
      <c r="G59" s="90"/>
      <c r="I59" s="90"/>
      <c r="J59" s="24"/>
      <c r="K59" s="24"/>
    </row>
    <row r="60" spans="1:13" x14ac:dyDescent="0.45">
      <c r="A60" s="24"/>
      <c r="B60" s="22" t="s">
        <v>285</v>
      </c>
      <c r="C60" s="84">
        <f>C49*$C$31*$C$30/1000</f>
        <v>5043.5795933670697</v>
      </c>
      <c r="D60" s="84">
        <f>H49*$C$29/1000</f>
        <v>5180.1083200000003</v>
      </c>
      <c r="E60" s="94">
        <f>D60-C60</f>
        <v>136.52872663293056</v>
      </c>
      <c r="F60" s="95">
        <f>(D60/C60)^(1/5)-1</f>
        <v>5.356273913971199E-3</v>
      </c>
      <c r="G60" s="90"/>
      <c r="H60" s="24"/>
      <c r="I60" s="24"/>
      <c r="J60" s="90"/>
      <c r="K60" s="24"/>
      <c r="L60" s="24"/>
    </row>
    <row r="61" spans="1:13" x14ac:dyDescent="0.45">
      <c r="A61" s="24"/>
      <c r="B61" s="22" t="s">
        <v>284</v>
      </c>
      <c r="C61" s="84">
        <f>C56*$C$31*$C$30/1000</f>
        <v>120.03569483892166</v>
      </c>
      <c r="D61" s="84">
        <f>H56*$C$29/1000</f>
        <v>214.21724799999998</v>
      </c>
      <c r="E61" s="94">
        <f>D61-C61</f>
        <v>94.181553161078327</v>
      </c>
      <c r="F61" s="96">
        <f>(D61/C61)^(1/5)-1</f>
        <v>0.1228165489764419</v>
      </c>
      <c r="G61" s="24"/>
      <c r="H61" s="90"/>
      <c r="J61" s="14"/>
      <c r="M61" s="14"/>
    </row>
    <row r="62" spans="1:13" x14ac:dyDescent="0.45">
      <c r="A62" s="24"/>
      <c r="B62" t="s">
        <v>231</v>
      </c>
      <c r="C62" s="14">
        <f>C61/C60</f>
        <v>2.3799702694646364E-2</v>
      </c>
      <c r="D62" s="14">
        <f>D61/D60</f>
        <v>4.1353816323284907E-2</v>
      </c>
      <c r="E62" s="14"/>
      <c r="F62" s="14"/>
      <c r="G62" s="14"/>
      <c r="H62" s="14"/>
      <c r="I62" s="14"/>
      <c r="J62" s="14"/>
      <c r="M62" s="14"/>
    </row>
    <row r="63" spans="1:13" x14ac:dyDescent="0.45">
      <c r="A63" s="24"/>
      <c r="C63" s="14"/>
      <c r="D63" s="14"/>
      <c r="E63" s="14"/>
      <c r="F63" s="14"/>
      <c r="G63" s="14"/>
      <c r="H63" s="14"/>
      <c r="I63" s="14"/>
      <c r="J63" s="14"/>
      <c r="M63" s="14"/>
    </row>
    <row r="64" spans="1:13" x14ac:dyDescent="0.45">
      <c r="A64" s="24" t="s">
        <v>50</v>
      </c>
      <c r="B64" s="74" t="s">
        <v>786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 spans="1:13" x14ac:dyDescent="0.45">
      <c r="A65" s="24"/>
      <c r="B65" s="75" t="s">
        <v>783</v>
      </c>
      <c r="C65" s="127"/>
      <c r="D65" s="127"/>
      <c r="E65" s="127"/>
      <c r="F65" s="127"/>
      <c r="G65" s="127"/>
      <c r="H65" s="127"/>
      <c r="I65" s="124"/>
      <c r="J65" s="24"/>
      <c r="K65" s="24"/>
    </row>
    <row r="66" spans="1:13" x14ac:dyDescent="0.45">
      <c r="A66" s="24"/>
      <c r="B66" s="20" t="s">
        <v>44</v>
      </c>
      <c r="C66" s="25">
        <v>2016</v>
      </c>
      <c r="D66" s="25">
        <v>2017</v>
      </c>
      <c r="E66" s="25">
        <v>2018</v>
      </c>
      <c r="F66" s="25">
        <v>2019</v>
      </c>
      <c r="G66" s="25">
        <v>2020</v>
      </c>
      <c r="H66" s="25">
        <v>2021</v>
      </c>
      <c r="J66" s="183" t="s">
        <v>782</v>
      </c>
      <c r="K66" s="24"/>
    </row>
    <row r="67" spans="1:13" x14ac:dyDescent="0.45">
      <c r="A67" s="24"/>
      <c r="B67" s="106" t="s">
        <v>194</v>
      </c>
      <c r="C67" s="78">
        <f>VLOOKUP($B67,'Dados IBGE - VPB'!$A$4:$G$423,2,FALSE)</f>
        <v>73150745</v>
      </c>
      <c r="D67" s="78">
        <f>VLOOKUP($B67,'Dados IBGE - VPB'!$A$4:$G$423,3,FALSE)</f>
        <v>86771242</v>
      </c>
      <c r="E67" s="78">
        <f>VLOOKUP($B67,'Dados IBGE - VPB'!$A$4:$G$423,4,FALSE)</f>
        <v>99507283</v>
      </c>
      <c r="F67" s="78">
        <f>VLOOKUP($B67,'Dados IBGE - VPB'!$A$4:$G$423,5,FALSE)</f>
        <v>100390273</v>
      </c>
      <c r="G67" s="78">
        <f>VLOOKUP($B67,'Dados IBGE - VPB'!$A$4:$G$423,6,FALSE)</f>
        <v>108491943</v>
      </c>
      <c r="H67" s="78">
        <f>VLOOKUP($B67,'Dados IBGE - VPB'!$A$4:$G$423,7,FALSE)</f>
        <v>140418767</v>
      </c>
      <c r="J67" s="11">
        <f t="shared" ref="J67:J68" si="2">H67*$C$29/1000</f>
        <v>26679.565730000002</v>
      </c>
      <c r="K67" s="24"/>
    </row>
    <row r="68" spans="1:13" x14ac:dyDescent="0.45">
      <c r="A68" s="24"/>
      <c r="B68" s="99" t="s">
        <v>273</v>
      </c>
      <c r="C68" s="186">
        <f>VLOOKUP($B68,'Dados IBGE - VPB'!$A$4:$G$423,2,FALSE)</f>
        <v>3981880</v>
      </c>
      <c r="D68" s="186">
        <f>VLOOKUP($B68,'Dados IBGE - VPB'!$A$4:$G$423,3,FALSE)</f>
        <v>6997812</v>
      </c>
      <c r="E68" s="186">
        <f>VLOOKUP($B68,'Dados IBGE - VPB'!$A$4:$G$423,4,FALSE)</f>
        <v>8262281</v>
      </c>
      <c r="F68" s="186">
        <f>VLOOKUP($B68,'Dados IBGE - VPB'!$A$4:$G$423,5,FALSE)</f>
        <v>6813506</v>
      </c>
      <c r="G68" s="186">
        <f>VLOOKUP($B68,'Dados IBGE - VPB'!$A$4:$G$423,6,FALSE)</f>
        <v>8217525</v>
      </c>
      <c r="H68" s="186">
        <f>VLOOKUP($B68,'Dados IBGE - VPB'!$A$4:$G$423,7,FALSE)</f>
        <v>14143650</v>
      </c>
      <c r="J68" s="11">
        <f t="shared" si="2"/>
        <v>2687.2935000000002</v>
      </c>
      <c r="K68" s="24"/>
    </row>
    <row r="69" spans="1:13" x14ac:dyDescent="0.45">
      <c r="A69" s="24"/>
      <c r="B69" s="22" t="s">
        <v>284</v>
      </c>
      <c r="C69" s="79">
        <f>C68*$C$32</f>
        <v>1592752</v>
      </c>
      <c r="D69" s="79">
        <f t="shared" ref="D69:H69" si="3">D68*$C$32</f>
        <v>2799124.8000000003</v>
      </c>
      <c r="E69" s="79">
        <f t="shared" si="3"/>
        <v>3304912.4000000004</v>
      </c>
      <c r="F69" s="79">
        <f t="shared" si="3"/>
        <v>2725402.4000000004</v>
      </c>
      <c r="G69" s="79">
        <f t="shared" si="3"/>
        <v>3287010</v>
      </c>
      <c r="H69" s="79">
        <f t="shared" si="3"/>
        <v>5657460</v>
      </c>
      <c r="J69" s="187">
        <f>H69*$C$29/1000</f>
        <v>1074.9173999999998</v>
      </c>
      <c r="K69" s="24"/>
    </row>
    <row r="70" spans="1:13" x14ac:dyDescent="0.45">
      <c r="A70" s="24"/>
      <c r="B70" s="109"/>
      <c r="C70" s="130"/>
      <c r="D70" s="130"/>
      <c r="E70" s="130"/>
      <c r="F70" s="130"/>
      <c r="G70" s="130"/>
      <c r="H70" s="130"/>
      <c r="I70" s="11"/>
      <c r="J70" s="182"/>
      <c r="K70" s="24"/>
    </row>
    <row r="71" spans="1:13" x14ac:dyDescent="0.45">
      <c r="A71" s="24" t="s">
        <v>784</v>
      </c>
      <c r="B71" s="21" t="s">
        <v>877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</row>
    <row r="72" spans="1:13" x14ac:dyDescent="0.45">
      <c r="B72" s="73" t="s">
        <v>229</v>
      </c>
    </row>
    <row r="73" spans="1:13" x14ac:dyDescent="0.45">
      <c r="B73" s="73"/>
    </row>
    <row r="74" spans="1:13" x14ac:dyDescent="0.45">
      <c r="B74" t="s">
        <v>817</v>
      </c>
      <c r="C74">
        <f>2026-2021</f>
        <v>5</v>
      </c>
    </row>
    <row r="75" spans="1:13" x14ac:dyDescent="0.45">
      <c r="B75" t="s">
        <v>818</v>
      </c>
      <c r="C75">
        <f>2030-2026</f>
        <v>4</v>
      </c>
    </row>
    <row r="76" spans="1:13" x14ac:dyDescent="0.45">
      <c r="B76" s="73"/>
    </row>
    <row r="77" spans="1:13" x14ac:dyDescent="0.45">
      <c r="B77" s="1" t="s">
        <v>858</v>
      </c>
    </row>
    <row r="78" spans="1:13" x14ac:dyDescent="0.45">
      <c r="B78" s="270" t="s">
        <v>852</v>
      </c>
      <c r="C78" s="271"/>
      <c r="D78" s="271"/>
      <c r="E78" s="271"/>
    </row>
    <row r="79" spans="1:13" x14ac:dyDescent="0.45">
      <c r="B79" s="23" t="s">
        <v>862</v>
      </c>
      <c r="C79" s="85">
        <f>F60</f>
        <v>5.356273913971199E-3</v>
      </c>
      <c r="D79" s="85"/>
    </row>
    <row r="80" spans="1:13" x14ac:dyDescent="0.45">
      <c r="B80" s="23" t="s">
        <v>863</v>
      </c>
      <c r="C80" s="87">
        <f>D61*((1+C79)^C74)</f>
        <v>220.01606757860117</v>
      </c>
      <c r="D80" s="98"/>
      <c r="E80" s="98"/>
    </row>
    <row r="81" spans="2:5" x14ac:dyDescent="0.45">
      <c r="B81" s="23" t="s">
        <v>864</v>
      </c>
      <c r="C81" s="178">
        <f>J69*((1+C79)^C74)</f>
        <v>1104.0152066551348</v>
      </c>
      <c r="D81" s="85"/>
    </row>
    <row r="82" spans="2:5" x14ac:dyDescent="0.45">
      <c r="B82" s="23"/>
      <c r="C82" s="178"/>
      <c r="D82" s="85"/>
    </row>
    <row r="83" spans="2:5" x14ac:dyDescent="0.45">
      <c r="B83" s="1" t="s">
        <v>859</v>
      </c>
    </row>
    <row r="84" spans="2:5" x14ac:dyDescent="0.45">
      <c r="B84" s="270" t="s">
        <v>852</v>
      </c>
      <c r="C84" s="271"/>
      <c r="D84" s="271"/>
      <c r="E84" s="271"/>
    </row>
    <row r="85" spans="2:5" x14ac:dyDescent="0.45">
      <c r="B85" s="23" t="s">
        <v>862</v>
      </c>
      <c r="C85" s="85">
        <f>F60</f>
        <v>5.356273913971199E-3</v>
      </c>
      <c r="D85" s="85"/>
    </row>
    <row r="86" spans="2:5" x14ac:dyDescent="0.45">
      <c r="B86" s="23" t="s">
        <v>880</v>
      </c>
      <c r="C86" s="87">
        <f>C80*((1+C85)^C75)</f>
        <v>224.76794142319972</v>
      </c>
      <c r="D86" s="98"/>
      <c r="E86" s="98"/>
    </row>
    <row r="87" spans="2:5" x14ac:dyDescent="0.45">
      <c r="B87" s="23" t="s">
        <v>881</v>
      </c>
      <c r="C87" s="178">
        <f>C81*((1+C85)^C75)</f>
        <v>1127.8595605801927</v>
      </c>
      <c r="D87" s="85"/>
    </row>
    <row r="88" spans="2:5" x14ac:dyDescent="0.45">
      <c r="B88" s="23"/>
      <c r="C88" s="178"/>
      <c r="D88" s="85"/>
    </row>
    <row r="89" spans="2:5" x14ac:dyDescent="0.45">
      <c r="B89" s="1" t="s">
        <v>860</v>
      </c>
    </row>
    <row r="90" spans="2:5" x14ac:dyDescent="0.45">
      <c r="B90" s="270" t="s">
        <v>865</v>
      </c>
      <c r="C90" s="271"/>
      <c r="D90" s="271"/>
      <c r="E90" s="271"/>
    </row>
    <row r="91" spans="2:5" x14ac:dyDescent="0.45">
      <c r="B91" s="23" t="s">
        <v>866</v>
      </c>
      <c r="C91" s="144">
        <f>C79+C33</f>
        <v>1.7409931871750873E-2</v>
      </c>
      <c r="D91" s="85"/>
    </row>
    <row r="92" spans="2:5" ht="17" customHeight="1" x14ac:dyDescent="0.45">
      <c r="B92" s="23" t="s">
        <v>880</v>
      </c>
      <c r="C92" s="248">
        <f>C80*((1+C91)^C75)</f>
        <v>235.74271970603002</v>
      </c>
      <c r="D92" s="98"/>
      <c r="E92" s="98"/>
    </row>
    <row r="93" spans="2:5" ht="17" customHeight="1" x14ac:dyDescent="0.45">
      <c r="B93" s="23" t="s">
        <v>881</v>
      </c>
      <c r="C93" s="178">
        <f>C81*((1+C91)^C75)</f>
        <v>1182.9297299876364</v>
      </c>
      <c r="D93" s="85"/>
    </row>
    <row r="94" spans="2:5" ht="17" customHeight="1" x14ac:dyDescent="0.45"/>
    <row r="95" spans="2:5" ht="17" customHeight="1" x14ac:dyDescent="0.45">
      <c r="B95" s="274" t="s">
        <v>849</v>
      </c>
      <c r="C95" s="274" t="str">
        <f>C36</f>
        <v>produto disruptivo</v>
      </c>
    </row>
    <row r="96" spans="2:5" ht="17" customHeight="1" x14ac:dyDescent="0.45"/>
    <row r="97" spans="2:5" x14ac:dyDescent="0.45">
      <c r="B97" s="1" t="s">
        <v>861</v>
      </c>
    </row>
    <row r="98" spans="2:5" x14ac:dyDescent="0.45">
      <c r="B98" s="270" t="s">
        <v>882</v>
      </c>
      <c r="C98" s="271"/>
      <c r="D98" s="271"/>
      <c r="E98" s="271"/>
    </row>
    <row r="99" spans="2:5" ht="17" customHeight="1" x14ac:dyDescent="0.45">
      <c r="B99" s="23" t="s">
        <v>867</v>
      </c>
      <c r="C99" s="144">
        <f>IF(AND((C95="produto disruptivo"),(C35&gt;(C79+C34))),C35,(C79+C34))</f>
        <v>7.1999999999999995E-2</v>
      </c>
      <c r="D99" s="85"/>
    </row>
    <row r="100" spans="2:5" ht="17" customHeight="1" x14ac:dyDescent="0.45">
      <c r="B100" s="23" t="s">
        <v>880</v>
      </c>
      <c r="C100" s="248">
        <f>C80*((1+C99)^C75)</f>
        <v>290.55846971608736</v>
      </c>
      <c r="D100" s="282"/>
    </row>
    <row r="101" spans="2:5" ht="17" customHeight="1" x14ac:dyDescent="0.45">
      <c r="B101" s="23" t="s">
        <v>881</v>
      </c>
      <c r="C101" s="178">
        <f>C81*((1+C99)^C75)</f>
        <v>1457.9888301767155</v>
      </c>
      <c r="D101" s="282"/>
      <c r="E10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4BCB-4C68-4F38-B0F4-B370B2F8840C}">
  <dimension ref="A1:N100"/>
  <sheetViews>
    <sheetView showGridLines="0" zoomScale="79" zoomScaleNormal="110" workbookViewId="0"/>
  </sheetViews>
  <sheetFormatPr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8" width="16" customWidth="1"/>
    <col min="9" max="9" width="14.6640625" customWidth="1"/>
    <col min="10" max="10" width="17" customWidth="1"/>
    <col min="11" max="12" width="16.53125" customWidth="1"/>
    <col min="13" max="13" width="15.1328125" customWidth="1"/>
  </cols>
  <sheetData>
    <row r="1" spans="1:14" s="69" customFormat="1" ht="22.25" customHeight="1" thickBot="1" x14ac:dyDescent="0.6">
      <c r="A1" s="70" t="s">
        <v>286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C78</f>
        <v>3.6535627664732617E-2</v>
      </c>
      <c r="F5" s="122"/>
      <c r="G5" s="122"/>
      <c r="H5" s="315" t="s">
        <v>908</v>
      </c>
      <c r="I5" s="323" t="str">
        <f>Output_Etapa1!$B$10</f>
        <v>Maquinário</v>
      </c>
      <c r="J5" s="324">
        <f>E5+INDEX(Output_Etapa1!$B$5:$R$14,MATCH(I5,Output_Etapa1!$B$5:$B$14,0),MATCH(H5,Output_Etapa1!$B$5:$R$5,0))</f>
        <v>5.6700425289359924E-2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C79</f>
        <v>103.63529480428004</v>
      </c>
      <c r="F6" s="122"/>
      <c r="G6" s="122"/>
      <c r="H6" s="321" t="s">
        <v>897</v>
      </c>
      <c r="I6" s="321"/>
      <c r="J6" s="284">
        <f>E6*((1+$J$5)^4)</f>
        <v>129.21567958232441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C80</f>
        <v>315.56959828406929</v>
      </c>
      <c r="F7" s="122"/>
      <c r="G7" s="122"/>
      <c r="H7" s="322" t="s">
        <v>874</v>
      </c>
      <c r="I7" s="322"/>
      <c r="J7" s="284">
        <f>E7*((1+$J$5)^4)</f>
        <v>393.46190093640854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152.46524734021358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C84</f>
        <v>3.6535627664732617E-2</v>
      </c>
      <c r="F9" s="122"/>
      <c r="G9" s="122"/>
      <c r="H9" s="322" t="s">
        <v>904</v>
      </c>
      <c r="I9" s="322"/>
      <c r="J9" s="283">
        <f>E7*((1+$J$5)^7)</f>
        <v>464.25686293744621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C85</f>
        <v>119.63124541074859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C86</f>
        <v>364.27728726771295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133.22855775745478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405.68111984325247</v>
      </c>
      <c r="F13" s="122"/>
      <c r="G13" s="122"/>
      <c r="H13" s="315" t="s">
        <v>909</v>
      </c>
      <c r="I13" s="323" t="str">
        <f>Output_Etapa1!$B$10</f>
        <v>Maquinário</v>
      </c>
      <c r="J13" s="324">
        <f>E5+INDEX(Output_Etapa1!$B$5:$R$14,MATCH(I13,Output_Etapa1!$B$5:$B$14,0),MATCH(H13,Output_Etapa1!$B$5:$R$5,0))</f>
        <v>0.19919122526655997</v>
      </c>
      <c r="K13" s="122"/>
      <c r="L13" s="315" t="s">
        <v>997</v>
      </c>
      <c r="M13" s="323" t="str">
        <f>Output_Etapa1!$B$10</f>
        <v>Maquinário</v>
      </c>
      <c r="N13" s="324">
        <f>INDEX(Output_Etapa1!$B$5:$R$14,MATCH(M13,Output_Etapa1!$B$5:$B$14,0),MATCH(L13,Output_Etapa1!$B$5:$R$5,0))</f>
        <v>6.202905885973542E-2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214.31938543884669</v>
      </c>
      <c r="K14" s="122"/>
      <c r="L14" s="321" t="s">
        <v>897</v>
      </c>
      <c r="M14" s="321"/>
      <c r="N14" s="284">
        <f>E6*((1+$N$13)^4)</f>
        <v>131.84184952135089</v>
      </c>
    </row>
    <row r="15" spans="1:14" x14ac:dyDescent="0.45">
      <c r="B15" s="168" t="s">
        <v>747</v>
      </c>
      <c r="C15" s="168"/>
      <c r="D15" s="6" t="s">
        <v>39</v>
      </c>
      <c r="E15" s="169">
        <f>C90</f>
        <v>3.9471856437214618E-2</v>
      </c>
      <c r="F15" s="122"/>
      <c r="G15" s="122"/>
      <c r="H15" s="322" t="s">
        <v>874</v>
      </c>
      <c r="I15" s="322"/>
      <c r="J15" s="284">
        <f>E7*((1+$J$13)^4)</f>
        <v>652.6027884144379</v>
      </c>
      <c r="K15" s="122"/>
      <c r="L15" s="322" t="s">
        <v>874</v>
      </c>
      <c r="M15" s="322"/>
      <c r="N15" s="284">
        <f>E7*((1+$N$13)^4)</f>
        <v>401.45859158363828</v>
      </c>
    </row>
    <row r="16" spans="1:14" x14ac:dyDescent="0.45">
      <c r="B16" s="21" t="s">
        <v>232</v>
      </c>
      <c r="C16" s="21"/>
      <c r="D16" s="97"/>
      <c r="E16" s="284">
        <f>C91</f>
        <v>120.992549643248</v>
      </c>
      <c r="F16" s="122"/>
      <c r="G16" s="122"/>
      <c r="H16" s="322" t="s">
        <v>903</v>
      </c>
      <c r="I16" s="322"/>
      <c r="J16" s="283">
        <f>E6*((1+$J$13)^7)</f>
        <v>369.59559063990253</v>
      </c>
      <c r="K16" s="122"/>
      <c r="L16" s="322" t="s">
        <v>903</v>
      </c>
      <c r="M16" s="322"/>
      <c r="N16" s="283">
        <f>E6*((1+$N$13)^7)</f>
        <v>157.92921859920642</v>
      </c>
    </row>
    <row r="17" spans="1:14" x14ac:dyDescent="0.45">
      <c r="B17" s="21" t="s">
        <v>874</v>
      </c>
      <c r="C17" s="21"/>
      <c r="D17" s="21"/>
      <c r="E17" s="284">
        <f>C92</f>
        <v>368.42246030556203</v>
      </c>
      <c r="F17" s="122"/>
      <c r="G17" s="122"/>
      <c r="H17" s="322" t="s">
        <v>904</v>
      </c>
      <c r="I17" s="322"/>
      <c r="J17" s="283">
        <f>E7*((1+$J$13)^7)</f>
        <v>1125.4190214450041</v>
      </c>
      <c r="K17" s="122"/>
      <c r="L17" s="322" t="s">
        <v>904</v>
      </c>
      <c r="M17" s="322"/>
      <c r="N17" s="283">
        <f>E7*((1+$N$13)^7)</f>
        <v>480.89466204336287</v>
      </c>
    </row>
    <row r="18" spans="1:14" x14ac:dyDescent="0.45">
      <c r="B18" s="21" t="s">
        <v>903</v>
      </c>
      <c r="C18" s="21"/>
      <c r="D18" s="21"/>
      <c r="E18" s="283">
        <f>$E$6*((1+$E$15)^7)</f>
        <v>135.89292126106199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413.79410994092081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C98</f>
        <v>0.13400000000000001</v>
      </c>
      <c r="F21" s="122"/>
      <c r="G21" s="122"/>
      <c r="H21" s="315" t="s">
        <v>910</v>
      </c>
      <c r="I21" s="323" t="str">
        <f>Output_Etapa1!$B$10</f>
        <v>Maquinário</v>
      </c>
      <c r="J21" s="324">
        <f>E5+INDEX(Output_Etapa1!$B$5:$R$14,MATCH(I21,Output_Etapa1!$B$5:$B$14,0),MATCH(H21,Output_Etapa1!$B$5:$R$5,0))</f>
        <v>3.518704430529862E-2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C99</f>
        <v>171.3799080077346</v>
      </c>
      <c r="F22" s="122"/>
      <c r="G22" s="122"/>
      <c r="H22" s="321" t="s">
        <v>897</v>
      </c>
      <c r="I22" s="321"/>
      <c r="J22" s="284">
        <f>E6*((1+$J$21)^4)</f>
        <v>119.00987505756088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C100</f>
        <v>521.85202759444473</v>
      </c>
      <c r="F23" s="122"/>
      <c r="G23" s="122"/>
      <c r="H23" s="322" t="s">
        <v>874</v>
      </c>
      <c r="I23" s="322"/>
      <c r="J23" s="284">
        <f>E7*((1+$J$21)^4)</f>
        <v>362.38521378916113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249.91888179358153</v>
      </c>
      <c r="F24" s="122"/>
      <c r="G24" s="122"/>
      <c r="H24" s="322" t="s">
        <v>903</v>
      </c>
      <c r="I24" s="322"/>
      <c r="J24" s="283">
        <f>E6*((1+$J$21)^7)</f>
        <v>132.01992549590497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761.00329796087192</v>
      </c>
      <c r="F25" s="122"/>
      <c r="G25" s="122"/>
      <c r="H25" s="322" t="s">
        <v>904</v>
      </c>
      <c r="I25" s="322"/>
      <c r="J25" s="283">
        <f>E7*((1+$J$21)^7)</f>
        <v>402.00083314198196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ht="28.25" customHeight="1" x14ac:dyDescent="0.45">
      <c r="A32" s="24"/>
      <c r="B32" s="117" t="s">
        <v>291</v>
      </c>
      <c r="C32" s="115">
        <v>0.1</v>
      </c>
    </row>
    <row r="33" spans="1:13" ht="28.25" customHeight="1" x14ac:dyDescent="0.45">
      <c r="A33" s="24"/>
      <c r="B33" s="117" t="s">
        <v>292</v>
      </c>
      <c r="C33" s="115">
        <v>0.04</v>
      </c>
      <c r="F33" s="86"/>
      <c r="G33" s="13"/>
    </row>
    <row r="34" spans="1:13" ht="28.5" x14ac:dyDescent="0.45">
      <c r="A34" s="24"/>
      <c r="B34" s="117" t="s">
        <v>913</v>
      </c>
      <c r="C34" s="161">
        <f>'Cenario B benchmark va'!C9</f>
        <v>2.936228772482001E-3</v>
      </c>
    </row>
    <row r="35" spans="1:13" ht="28.5" x14ac:dyDescent="0.45">
      <c r="A35" s="24"/>
      <c r="B35" s="117" t="s">
        <v>914</v>
      </c>
      <c r="C35" s="161">
        <f>'Cenario B benchmark va'!D9</f>
        <v>1.327294919237915E-2</v>
      </c>
    </row>
    <row r="36" spans="1:13" ht="28.25" customHeight="1" x14ac:dyDescent="0.45">
      <c r="A36" s="24"/>
      <c r="B36" s="117" t="s">
        <v>760</v>
      </c>
      <c r="C36" s="115">
        <v>0.13400000000000001</v>
      </c>
      <c r="F36" s="86"/>
      <c r="G36" s="13"/>
    </row>
    <row r="37" spans="1:13" x14ac:dyDescent="0.45">
      <c r="A37" s="24"/>
      <c r="B37" s="116" t="s">
        <v>745</v>
      </c>
      <c r="C37" s="164" t="str">
        <f>IF(D56&lt;3%,"produto disruptivo", "produto representativo")</f>
        <v>produto disruptivo</v>
      </c>
    </row>
    <row r="38" spans="1:13" x14ac:dyDescent="0.45">
      <c r="A38" s="24"/>
    </row>
    <row r="39" spans="1:13" x14ac:dyDescent="0.45">
      <c r="A39" s="24"/>
      <c r="B39" s="76" t="s">
        <v>832</v>
      </c>
      <c r="C39" s="7" t="s">
        <v>750</v>
      </c>
      <c r="D39" s="7"/>
      <c r="E39" s="7"/>
      <c r="F39" s="7"/>
      <c r="G39" s="7"/>
    </row>
    <row r="40" spans="1:13" x14ac:dyDescent="0.45">
      <c r="A40" s="24"/>
    </row>
    <row r="41" spans="1:13" x14ac:dyDescent="0.45">
      <c r="A41" s="24"/>
      <c r="B41" s="167" t="s">
        <v>747</v>
      </c>
      <c r="C41" s="6" t="s">
        <v>748</v>
      </c>
      <c r="D41" s="6"/>
      <c r="E41" s="6"/>
      <c r="F41" s="6"/>
      <c r="G41" s="6"/>
    </row>
    <row r="42" spans="1:13" ht="14" customHeight="1" x14ac:dyDescent="0.45">
      <c r="A42" s="24"/>
      <c r="B42" s="23"/>
      <c r="C42" s="23"/>
      <c r="D42" s="23"/>
      <c r="E42" s="23"/>
      <c r="F42" s="23"/>
      <c r="G42" s="23"/>
    </row>
    <row r="43" spans="1:13" x14ac:dyDescent="0.45">
      <c r="A43" s="24"/>
      <c r="B43" s="89" t="s">
        <v>185</v>
      </c>
      <c r="C43" s="5" t="s">
        <v>749</v>
      </c>
      <c r="D43" s="5"/>
      <c r="E43" s="5"/>
      <c r="F43" s="5"/>
      <c r="G43" s="5"/>
    </row>
    <row r="44" spans="1:13" ht="14" customHeight="1" x14ac:dyDescent="0.45">
      <c r="A44" s="24"/>
      <c r="B44" s="23"/>
      <c r="C44" s="165"/>
      <c r="D44" s="23"/>
      <c r="E44" s="23"/>
      <c r="F44" s="23"/>
      <c r="G44" s="23"/>
    </row>
    <row r="45" spans="1:13" ht="14" customHeight="1" x14ac:dyDescent="0.45">
      <c r="A45" s="24"/>
      <c r="B45" s="166" t="s">
        <v>746</v>
      </c>
      <c r="C45" s="165"/>
      <c r="D45" s="23"/>
      <c r="E45" s="23"/>
      <c r="F45" s="23"/>
      <c r="G45" s="23"/>
    </row>
    <row r="46" spans="1:13" x14ac:dyDescent="0.45">
      <c r="A46" s="24"/>
    </row>
    <row r="47" spans="1:13" x14ac:dyDescent="0.45">
      <c r="A47" s="24" t="s">
        <v>49</v>
      </c>
      <c r="B47" s="74" t="s">
        <v>790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x14ac:dyDescent="0.45">
      <c r="A48" s="24"/>
      <c r="B48" s="75" t="s">
        <v>228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3" x14ac:dyDescent="0.45">
      <c r="A49" s="24"/>
      <c r="B49" s="20" t="s">
        <v>44</v>
      </c>
      <c r="C49" s="25">
        <v>2016</v>
      </c>
      <c r="D49" s="25">
        <v>2017</v>
      </c>
      <c r="E49" s="25">
        <v>2018</v>
      </c>
      <c r="F49" s="25">
        <v>2019</v>
      </c>
      <c r="G49" s="25">
        <v>2020</v>
      </c>
      <c r="H49" s="25">
        <v>2021</v>
      </c>
      <c r="I49" s="25" t="s">
        <v>43</v>
      </c>
      <c r="K49" s="24"/>
      <c r="L49" s="24"/>
    </row>
    <row r="50" spans="1:13" x14ac:dyDescent="0.45">
      <c r="A50" s="24"/>
      <c r="B50" s="106" t="s">
        <v>42</v>
      </c>
      <c r="C50" s="114">
        <v>29994634</v>
      </c>
      <c r="D50" s="114">
        <v>29787040</v>
      </c>
      <c r="E50" s="114">
        <v>32861173</v>
      </c>
      <c r="F50" s="114">
        <v>36523489</v>
      </c>
      <c r="G50" s="114">
        <v>41275128</v>
      </c>
      <c r="H50" s="114">
        <v>61869550</v>
      </c>
      <c r="I50" s="83">
        <f>C50*$C$28</f>
        <v>40860651.345499657</v>
      </c>
      <c r="K50" s="24"/>
      <c r="L50" s="24"/>
    </row>
    <row r="51" spans="1:13" x14ac:dyDescent="0.45">
      <c r="A51" s="24"/>
      <c r="B51" s="103" t="s">
        <v>280</v>
      </c>
      <c r="C51" s="104">
        <v>1609353</v>
      </c>
      <c r="D51" s="104">
        <v>1887445</v>
      </c>
      <c r="E51" s="104">
        <v>2021575</v>
      </c>
      <c r="F51" s="104">
        <v>2677624</v>
      </c>
      <c r="G51" s="104">
        <v>2916912</v>
      </c>
      <c r="H51" s="104">
        <v>3557915</v>
      </c>
      <c r="I51" s="82">
        <f>C51*$C$28</f>
        <v>2192365.8686695062</v>
      </c>
      <c r="K51" s="24"/>
      <c r="L51" s="24"/>
    </row>
    <row r="52" spans="1:13" x14ac:dyDescent="0.45">
      <c r="A52" s="24"/>
      <c r="B52" s="101" t="s">
        <v>283</v>
      </c>
      <c r="C52" s="112">
        <v>1118580</v>
      </c>
      <c r="D52" s="112">
        <v>1079783</v>
      </c>
      <c r="E52" s="112">
        <v>1221355</v>
      </c>
      <c r="F52" s="112">
        <v>1511213</v>
      </c>
      <c r="G52" s="112">
        <v>1628096</v>
      </c>
      <c r="H52" s="112">
        <v>2501750</v>
      </c>
      <c r="I52" s="82">
        <f>C52*$C$28</f>
        <v>1523802.8035964367</v>
      </c>
      <c r="K52" s="24"/>
      <c r="L52" s="24"/>
    </row>
    <row r="53" spans="1:13" x14ac:dyDescent="0.45">
      <c r="A53" s="24"/>
      <c r="B53" s="109" t="s">
        <v>213</v>
      </c>
      <c r="C53" s="113">
        <f>(C51*$C$32)+(C52*$C$33)</f>
        <v>205678.50000000003</v>
      </c>
      <c r="D53" s="113">
        <f t="shared" ref="D53:H53" si="0">(D51*$C$32)+(D52*$C$33)</f>
        <v>231935.82</v>
      </c>
      <c r="E53" s="113">
        <f t="shared" si="0"/>
        <v>251011.7</v>
      </c>
      <c r="F53" s="113">
        <f t="shared" si="0"/>
        <v>328210.92000000004</v>
      </c>
      <c r="G53" s="113">
        <f t="shared" si="0"/>
        <v>356815.04000000004</v>
      </c>
      <c r="H53" s="113">
        <f t="shared" si="0"/>
        <v>455861.5</v>
      </c>
      <c r="I53" s="11"/>
      <c r="K53" s="24"/>
      <c r="L53" s="24"/>
    </row>
    <row r="54" spans="1:13" x14ac:dyDescent="0.45">
      <c r="A54" s="24"/>
      <c r="B54" s="2"/>
      <c r="C54" s="78"/>
      <c r="D54" s="78"/>
      <c r="E54" s="78"/>
      <c r="F54" s="78"/>
      <c r="G54" s="78"/>
      <c r="H54" s="78"/>
      <c r="I54" s="11"/>
      <c r="K54" s="24"/>
      <c r="L54" s="24"/>
    </row>
    <row r="55" spans="1:13" x14ac:dyDescent="0.45">
      <c r="A55" s="24"/>
      <c r="C55" s="14"/>
      <c r="D55" s="14"/>
      <c r="E55" s="14"/>
      <c r="F55" s="14"/>
      <c r="G55" s="14"/>
      <c r="H55" s="24"/>
      <c r="I55" s="24"/>
      <c r="K55" s="24"/>
      <c r="L55" s="24"/>
    </row>
    <row r="56" spans="1:13" x14ac:dyDescent="0.45">
      <c r="A56" s="24"/>
      <c r="B56" s="75" t="s">
        <v>184</v>
      </c>
      <c r="C56" s="24"/>
      <c r="D56" s="24"/>
      <c r="E56" s="24"/>
      <c r="F56" s="24"/>
      <c r="G56" s="90"/>
      <c r="H56" s="24"/>
      <c r="I56" s="24"/>
      <c r="K56" s="24"/>
      <c r="L56" s="24"/>
    </row>
    <row r="57" spans="1:13" x14ac:dyDescent="0.45">
      <c r="A57" s="24"/>
      <c r="B57" s="170" t="s">
        <v>44</v>
      </c>
      <c r="C57" s="171" t="s">
        <v>43</v>
      </c>
      <c r="D57" s="171">
        <v>2021</v>
      </c>
      <c r="E57" s="171" t="s">
        <v>48</v>
      </c>
      <c r="F57" s="171" t="s">
        <v>39</v>
      </c>
      <c r="G57" s="90"/>
      <c r="I57" s="90"/>
      <c r="J57" s="24"/>
      <c r="K57" s="24"/>
    </row>
    <row r="58" spans="1:13" x14ac:dyDescent="0.45">
      <c r="A58" s="24"/>
      <c r="B58" s="22" t="s">
        <v>244</v>
      </c>
      <c r="C58" s="84">
        <f>C50*$C$31*$C$30/1000</f>
        <v>9824.4757998062178</v>
      </c>
      <c r="D58" s="84">
        <f>H50*$C$29/1000</f>
        <v>11755.2145</v>
      </c>
      <c r="E58" s="94">
        <f>D58-C58</f>
        <v>1930.7387001937823</v>
      </c>
      <c r="F58" s="159">
        <f>(D58/C58)^(1/5)-1</f>
        <v>3.6535627664732617E-2</v>
      </c>
      <c r="G58" s="90"/>
      <c r="H58" s="90"/>
      <c r="J58" s="90"/>
      <c r="K58" s="24"/>
      <c r="L58" s="24"/>
    </row>
    <row r="59" spans="1:13" x14ac:dyDescent="0.45">
      <c r="A59" s="24"/>
      <c r="B59" s="22" t="s">
        <v>287</v>
      </c>
      <c r="C59" s="84">
        <f>C53*$C$31*$C$30/1000</f>
        <v>67.368164778754874</v>
      </c>
      <c r="D59" s="84">
        <f>H53*$C$29/1000</f>
        <v>86.613685000000004</v>
      </c>
      <c r="E59" s="94">
        <f>D59-C59</f>
        <v>19.24552022124513</v>
      </c>
      <c r="F59" s="162">
        <f>(D59/C59)^(1/5)-1</f>
        <v>5.1541361357795523E-2</v>
      </c>
      <c r="G59" s="24"/>
      <c r="H59" s="24"/>
      <c r="I59" s="90"/>
      <c r="J59" s="14"/>
      <c r="M59" s="14"/>
    </row>
    <row r="60" spans="1:13" x14ac:dyDescent="0.45">
      <c r="A60" s="24"/>
      <c r="B60" t="s">
        <v>231</v>
      </c>
      <c r="C60" s="14">
        <f>C59/C58</f>
        <v>6.8571765203069334E-3</v>
      </c>
      <c r="D60" s="14">
        <f>D59/D58</f>
        <v>7.3681075747277945E-3</v>
      </c>
      <c r="E60" s="14"/>
      <c r="F60" s="14"/>
      <c r="G60" s="14"/>
      <c r="H60" s="14"/>
      <c r="I60" s="14"/>
      <c r="J60" s="14"/>
      <c r="M60" s="14"/>
    </row>
    <row r="61" spans="1:13" x14ac:dyDescent="0.45">
      <c r="A61" s="24"/>
      <c r="C61" s="14"/>
      <c r="D61" s="14"/>
      <c r="E61" s="14"/>
      <c r="F61" s="14"/>
      <c r="G61" s="14"/>
      <c r="H61" s="14"/>
      <c r="I61" s="14"/>
      <c r="J61" s="14"/>
      <c r="M61" s="14"/>
    </row>
    <row r="62" spans="1:13" x14ac:dyDescent="0.45">
      <c r="A62" s="24" t="s">
        <v>50</v>
      </c>
      <c r="B62" s="74" t="s">
        <v>786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1:13" x14ac:dyDescent="0.45">
      <c r="A63" s="24"/>
      <c r="B63" s="75" t="s">
        <v>783</v>
      </c>
      <c r="C63" s="127"/>
      <c r="D63" s="127"/>
      <c r="E63" s="127"/>
      <c r="F63" s="127"/>
      <c r="G63" s="127"/>
      <c r="H63" s="127"/>
      <c r="I63" s="124"/>
      <c r="J63" s="24"/>
      <c r="K63" s="24"/>
    </row>
    <row r="64" spans="1:13" x14ac:dyDescent="0.45">
      <c r="A64" s="24"/>
      <c r="B64" s="20" t="s">
        <v>44</v>
      </c>
      <c r="C64" s="25">
        <v>2016</v>
      </c>
      <c r="D64" s="25">
        <v>2017</v>
      </c>
      <c r="E64" s="25">
        <v>2018</v>
      </c>
      <c r="F64" s="25">
        <v>2019</v>
      </c>
      <c r="G64" s="25">
        <v>2020</v>
      </c>
      <c r="H64" s="25">
        <v>2021</v>
      </c>
      <c r="J64" s="183" t="s">
        <v>782</v>
      </c>
      <c r="K64" s="24"/>
    </row>
    <row r="65" spans="1:13" x14ac:dyDescent="0.45">
      <c r="A65" s="24"/>
      <c r="B65" s="106" t="s">
        <v>42</v>
      </c>
      <c r="C65" s="78">
        <f>VLOOKUP($B65,'Dados IBGE - VPB'!$A$4:$G$423,2,FALSE)</f>
        <v>92965874</v>
      </c>
      <c r="D65" s="78">
        <f>VLOOKUP($B65,'Dados IBGE - VPB'!$A$4:$G$423,3,FALSE)</f>
        <v>98051641</v>
      </c>
      <c r="E65" s="78">
        <f>VLOOKUP($B65,'Dados IBGE - VPB'!$A$4:$G$423,4,FALSE)</f>
        <v>115083057</v>
      </c>
      <c r="F65" s="78">
        <f>VLOOKUP($B65,'Dados IBGE - VPB'!$A$4:$G$423,5,FALSE)</f>
        <v>127931097</v>
      </c>
      <c r="G65" s="78">
        <f>VLOOKUP($B65,'Dados IBGE - VPB'!$A$4:$G$423,6,FALSE)</f>
        <v>141967323</v>
      </c>
      <c r="H65" s="78">
        <f>VLOOKUP($B65,'Dados IBGE - VPB'!$A$4:$G$423,7,FALSE)</f>
        <v>225244197</v>
      </c>
      <c r="J65" s="11">
        <f t="shared" ref="J65:J67" si="1">H65*$C$29/1000</f>
        <v>42796.397429999997</v>
      </c>
      <c r="K65" s="24"/>
    </row>
    <row r="66" spans="1:13" x14ac:dyDescent="0.45">
      <c r="A66" s="24"/>
      <c r="B66" s="103" t="s">
        <v>280</v>
      </c>
      <c r="C66" s="186">
        <f>VLOOKUP($B66,'Dados IBGE - VPB'!$A$4:$G$423,2,FALSE)</f>
        <v>4592989</v>
      </c>
      <c r="D66" s="186">
        <f>VLOOKUP($B66,'Dados IBGE - VPB'!$A$4:$G$423,3,FALSE)</f>
        <v>4903882</v>
      </c>
      <c r="E66" s="186">
        <f>VLOOKUP($B66,'Dados IBGE - VPB'!$A$4:$G$423,4,FALSE)</f>
        <v>5528154</v>
      </c>
      <c r="F66" s="186">
        <f>VLOOKUP($B66,'Dados IBGE - VPB'!$A$4:$G$423,5,FALSE)</f>
        <v>6717564</v>
      </c>
      <c r="G66" s="186">
        <f>VLOOKUP($B66,'Dados IBGE - VPB'!$A$4:$G$423,6,FALSE)</f>
        <v>7390741</v>
      </c>
      <c r="H66" s="186">
        <f>VLOOKUP($B66,'Dados IBGE - VPB'!$A$4:$G$423,7,FALSE)</f>
        <v>10473029</v>
      </c>
      <c r="J66" s="11">
        <f t="shared" si="1"/>
        <v>1989.8755100000001</v>
      </c>
      <c r="K66" s="24"/>
    </row>
    <row r="67" spans="1:13" x14ac:dyDescent="0.45">
      <c r="A67" s="24"/>
      <c r="B67" s="101" t="s">
        <v>283</v>
      </c>
      <c r="C67" s="186">
        <f>VLOOKUP($B67,'Dados IBGE - VPB'!$A$4:$G$423,2,FALSE)</f>
        <v>3355514</v>
      </c>
      <c r="D67" s="186">
        <f>VLOOKUP($B67,'Dados IBGE - VPB'!$A$4:$G$423,3,FALSE)</f>
        <v>3395774</v>
      </c>
      <c r="E67" s="186">
        <f>VLOOKUP($B67,'Dados IBGE - VPB'!$A$4:$G$423,4,FALSE)</f>
        <v>3926817</v>
      </c>
      <c r="F67" s="186">
        <f>VLOOKUP($B67,'Dados IBGE - VPB'!$A$4:$G$423,5,FALSE)</f>
        <v>4560964</v>
      </c>
      <c r="G67" s="186">
        <f>VLOOKUP($B67,'Dados IBGE - VPB'!$A$4:$G$423,6,FALSE)</f>
        <v>4774854</v>
      </c>
      <c r="H67" s="186">
        <f>VLOOKUP($B67,'Dados IBGE - VPB'!$A$4:$G$423,7,FALSE)</f>
        <v>8519898</v>
      </c>
      <c r="J67" s="11">
        <f t="shared" si="1"/>
        <v>1618.78062</v>
      </c>
      <c r="K67" s="24"/>
    </row>
    <row r="68" spans="1:13" x14ac:dyDescent="0.45">
      <c r="A68" s="24"/>
      <c r="B68" s="22" t="s">
        <v>792</v>
      </c>
      <c r="C68" s="113">
        <f>(C66*$C$32)+(C67*$C$33)</f>
        <v>593519.46</v>
      </c>
      <c r="D68" s="113">
        <f t="shared" ref="D68:H68" si="2">(D66*$C$32)+(D67*$C$33)</f>
        <v>626219.16</v>
      </c>
      <c r="E68" s="113">
        <f t="shared" si="2"/>
        <v>709888.08000000007</v>
      </c>
      <c r="F68" s="113">
        <f t="shared" si="2"/>
        <v>854194.96</v>
      </c>
      <c r="G68" s="113">
        <f t="shared" si="2"/>
        <v>930068.26000000013</v>
      </c>
      <c r="H68" s="113">
        <f t="shared" si="2"/>
        <v>1388098.82</v>
      </c>
      <c r="J68" s="187">
        <f>H68*$C$29/1000</f>
        <v>263.73877579999998</v>
      </c>
      <c r="K68" s="24"/>
    </row>
    <row r="69" spans="1:13" x14ac:dyDescent="0.45">
      <c r="A69" s="24"/>
      <c r="B69" s="109"/>
      <c r="C69" s="130"/>
      <c r="D69" s="130"/>
      <c r="E69" s="130"/>
      <c r="F69" s="130"/>
      <c r="G69" s="130"/>
      <c r="H69" s="130"/>
      <c r="I69" s="11"/>
      <c r="J69" s="182"/>
      <c r="K69" s="24"/>
    </row>
    <row r="70" spans="1:13" x14ac:dyDescent="0.45">
      <c r="A70" s="24" t="s">
        <v>784</v>
      </c>
      <c r="B70" s="21" t="s">
        <v>877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 spans="1:13" x14ac:dyDescent="0.45">
      <c r="B71" s="73" t="s">
        <v>229</v>
      </c>
    </row>
    <row r="72" spans="1:13" x14ac:dyDescent="0.45">
      <c r="B72" s="73"/>
    </row>
    <row r="73" spans="1:13" x14ac:dyDescent="0.45">
      <c r="B73" t="s">
        <v>817</v>
      </c>
      <c r="C73">
        <f>2026-2021</f>
        <v>5</v>
      </c>
    </row>
    <row r="74" spans="1:13" x14ac:dyDescent="0.45">
      <c r="B74" t="s">
        <v>818</v>
      </c>
      <c r="C74">
        <f>2030-2026</f>
        <v>4</v>
      </c>
    </row>
    <row r="75" spans="1:13" x14ac:dyDescent="0.45">
      <c r="B75" s="73"/>
    </row>
    <row r="76" spans="1:13" x14ac:dyDescent="0.45">
      <c r="B76" s="1" t="s">
        <v>858</v>
      </c>
    </row>
    <row r="77" spans="1:13" x14ac:dyDescent="0.45">
      <c r="B77" s="270" t="s">
        <v>852</v>
      </c>
      <c r="C77" s="271"/>
      <c r="D77" s="271"/>
      <c r="E77" s="271"/>
    </row>
    <row r="78" spans="1:13" x14ac:dyDescent="0.45">
      <c r="B78" s="23" t="s">
        <v>862</v>
      </c>
      <c r="C78" s="144">
        <f>F58</f>
        <v>3.6535627664732617E-2</v>
      </c>
      <c r="D78" s="85"/>
    </row>
    <row r="79" spans="1:13" x14ac:dyDescent="0.45">
      <c r="B79" s="23" t="s">
        <v>863</v>
      </c>
      <c r="C79" s="87">
        <f>D59*((1+C78)^C73)</f>
        <v>103.63529480428004</v>
      </c>
      <c r="D79" s="98"/>
      <c r="E79" s="98"/>
    </row>
    <row r="80" spans="1:13" x14ac:dyDescent="0.45">
      <c r="B80" s="23" t="s">
        <v>864</v>
      </c>
      <c r="C80" s="178">
        <f>J68*((1+C78)^C73)</f>
        <v>315.56959828406929</v>
      </c>
      <c r="D80" s="85"/>
    </row>
    <row r="81" spans="2:5" x14ac:dyDescent="0.45">
      <c r="B81" s="23"/>
      <c r="C81" s="178"/>
      <c r="D81" s="85"/>
    </row>
    <row r="82" spans="2:5" x14ac:dyDescent="0.45">
      <c r="B82" s="1" t="s">
        <v>859</v>
      </c>
    </row>
    <row r="83" spans="2:5" x14ac:dyDescent="0.45">
      <c r="B83" s="270" t="s">
        <v>852</v>
      </c>
      <c r="C83" s="271"/>
      <c r="D83" s="271"/>
      <c r="E83" s="271"/>
    </row>
    <row r="84" spans="2:5" x14ac:dyDescent="0.45">
      <c r="B84" s="23" t="s">
        <v>862</v>
      </c>
      <c r="C84" s="144">
        <f>C78</f>
        <v>3.6535627664732617E-2</v>
      </c>
      <c r="D84" s="85"/>
    </row>
    <row r="85" spans="2:5" x14ac:dyDescent="0.45">
      <c r="B85" s="23" t="s">
        <v>880</v>
      </c>
      <c r="C85" s="87">
        <f>C79*((1+C84)^C74)</f>
        <v>119.63124541074859</v>
      </c>
      <c r="D85" s="98"/>
      <c r="E85" s="98"/>
    </row>
    <row r="86" spans="2:5" x14ac:dyDescent="0.45">
      <c r="B86" s="23" t="s">
        <v>881</v>
      </c>
      <c r="C86" s="178">
        <f>C80*((1+C84)^C74)</f>
        <v>364.27728726771295</v>
      </c>
      <c r="D86" s="85"/>
    </row>
    <row r="87" spans="2:5" x14ac:dyDescent="0.45">
      <c r="B87" s="23"/>
      <c r="C87" s="178"/>
      <c r="D87" s="85"/>
    </row>
    <row r="88" spans="2:5" x14ac:dyDescent="0.45">
      <c r="B88" s="1" t="s">
        <v>860</v>
      </c>
    </row>
    <row r="89" spans="2:5" x14ac:dyDescent="0.45">
      <c r="B89" s="270" t="s">
        <v>865</v>
      </c>
      <c r="C89" s="271"/>
      <c r="D89" s="271"/>
      <c r="E89" s="271"/>
    </row>
    <row r="90" spans="2:5" x14ac:dyDescent="0.45">
      <c r="B90" s="23" t="s">
        <v>866</v>
      </c>
      <c r="C90" s="144">
        <f>C78+C34</f>
        <v>3.9471856437214618E-2</v>
      </c>
      <c r="D90" s="85"/>
    </row>
    <row r="91" spans="2:5" ht="17" customHeight="1" x14ac:dyDescent="0.45">
      <c r="B91" s="23" t="s">
        <v>880</v>
      </c>
      <c r="C91" s="248">
        <f>C79*((1+C90)^C74)</f>
        <v>120.992549643248</v>
      </c>
      <c r="D91" s="98"/>
      <c r="E91" s="98"/>
    </row>
    <row r="92" spans="2:5" ht="17" customHeight="1" x14ac:dyDescent="0.45">
      <c r="B92" s="23" t="s">
        <v>881</v>
      </c>
      <c r="C92" s="178">
        <f>C80*((1+C90)^C74)</f>
        <v>368.42246030556203</v>
      </c>
      <c r="D92" s="85"/>
    </row>
    <row r="93" spans="2:5" ht="17" customHeight="1" x14ac:dyDescent="0.45"/>
    <row r="94" spans="2:5" ht="17" customHeight="1" x14ac:dyDescent="0.45">
      <c r="B94" s="274" t="s">
        <v>849</v>
      </c>
      <c r="C94" s="274" t="str">
        <f>C37</f>
        <v>produto disruptivo</v>
      </c>
    </row>
    <row r="95" spans="2:5" ht="17" customHeight="1" x14ac:dyDescent="0.45"/>
    <row r="96" spans="2:5" x14ac:dyDescent="0.45">
      <c r="B96" s="1" t="s">
        <v>861</v>
      </c>
    </row>
    <row r="97" spans="2:5" x14ac:dyDescent="0.45">
      <c r="B97" s="270" t="s">
        <v>882</v>
      </c>
      <c r="C97" s="271"/>
      <c r="D97" s="271"/>
      <c r="E97" s="271"/>
    </row>
    <row r="98" spans="2:5" ht="17" customHeight="1" x14ac:dyDescent="0.45">
      <c r="B98" s="23" t="s">
        <v>867</v>
      </c>
      <c r="C98" s="144">
        <f>IF(AND((C94="produto disruptivo"),(C36&gt;(C78+C35))),C36,(C78+C35))</f>
        <v>0.13400000000000001</v>
      </c>
      <c r="D98" s="85"/>
    </row>
    <row r="99" spans="2:5" ht="17" customHeight="1" x14ac:dyDescent="0.45">
      <c r="B99" s="23" t="s">
        <v>880</v>
      </c>
      <c r="C99" s="248">
        <f>C79*((1+C98)^C74)</f>
        <v>171.3799080077346</v>
      </c>
      <c r="D99" s="282"/>
    </row>
    <row r="100" spans="2:5" ht="17" customHeight="1" x14ac:dyDescent="0.45">
      <c r="B100" s="23" t="s">
        <v>881</v>
      </c>
      <c r="C100" s="178">
        <f>C80*((1+C98)^C74)</f>
        <v>521.85202759444473</v>
      </c>
      <c r="D100" s="282"/>
      <c r="E100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4536-1368-43C4-AFC0-A1C38501AE78}">
  <dimension ref="A1:N98"/>
  <sheetViews>
    <sheetView showGridLines="0" zoomScale="80" workbookViewId="0"/>
  </sheetViews>
  <sheetFormatPr defaultColWidth="8.86328125" defaultRowHeight="14.25" x14ac:dyDescent="0.45"/>
  <cols>
    <col min="1" max="1" width="4.86328125" customWidth="1"/>
    <col min="2" max="2" width="43.33203125" customWidth="1"/>
    <col min="3" max="3" width="15.46484375" bestFit="1" customWidth="1"/>
    <col min="4" max="4" width="13.6640625" bestFit="1" customWidth="1"/>
    <col min="5" max="5" width="12.6640625" customWidth="1"/>
    <col min="6" max="6" width="13.6640625" bestFit="1" customWidth="1"/>
    <col min="7" max="8" width="16" customWidth="1"/>
    <col min="9" max="9" width="14.6640625" customWidth="1"/>
    <col min="10" max="10" width="13.796875" bestFit="1" customWidth="1"/>
    <col min="11" max="12" width="16.53125" customWidth="1"/>
    <col min="13" max="13" width="15.1328125" customWidth="1"/>
    <col min="14" max="14" width="10.19921875" customWidth="1"/>
  </cols>
  <sheetData>
    <row r="1" spans="1:14" s="69" customFormat="1" ht="22.25" customHeight="1" thickBot="1" x14ac:dyDescent="0.6">
      <c r="A1" s="70" t="s">
        <v>809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C76</f>
        <v>0.11077953557988418</v>
      </c>
      <c r="F5" s="122"/>
      <c r="G5" s="122"/>
      <c r="H5" s="315" t="s">
        <v>908</v>
      </c>
      <c r="I5" s="323" t="str">
        <f>Output_Etapa1!$B$7</f>
        <v>Químicos</v>
      </c>
      <c r="J5" s="324">
        <f>E5+INDEX(Output_Etapa1!$B$5:$R$14,MATCH(I5,Output_Etapa1!$B$5:$B$14,0),MATCH(H5,Output_Etapa1!$B$5:$R$5,0))</f>
        <v>0.12758627411203838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C77</f>
        <v>671.54060116247979</v>
      </c>
      <c r="F6" s="122"/>
      <c r="G6" s="122"/>
      <c r="H6" s="321" t="s">
        <v>897</v>
      </c>
      <c r="I6" s="321"/>
      <c r="J6" s="284">
        <f>E6*((1+$J$5)^4)</f>
        <v>1085.6039071966854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C78</f>
        <v>9687.7929110700952</v>
      </c>
      <c r="F7" s="122"/>
      <c r="G7" s="122"/>
      <c r="H7" s="322" t="s">
        <v>874</v>
      </c>
      <c r="I7" s="322"/>
      <c r="J7" s="284">
        <f>E7*((1+$J$5)^4)</f>
        <v>15661.161541333857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1556.3982709912459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C82</f>
        <v>0.11077953557988418</v>
      </c>
      <c r="F9" s="122"/>
      <c r="G9" s="122"/>
      <c r="H9" s="322" t="s">
        <v>904</v>
      </c>
      <c r="I9" s="322"/>
      <c r="J9" s="283">
        <f>E7*((1+$J$5)^7)</f>
        <v>22452.944930521924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C83</f>
        <v>1022.3126973858297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C84</f>
        <v>14748.108581204189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1401.0942949453433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20212.495498880682</v>
      </c>
      <c r="F13" s="122"/>
      <c r="G13" s="122"/>
      <c r="H13" s="315" t="s">
        <v>909</v>
      </c>
      <c r="I13" s="323" t="str">
        <f>Output_Etapa1!$B$7</f>
        <v>Químicos</v>
      </c>
      <c r="J13" s="324">
        <f>E5+INDEX(Output_Etapa1!$B$5:$R$14,MATCH(I13,Output_Etapa1!$B$5:$B$14,0),MATCH(H13,Output_Etapa1!$B$5:$R$5,0))</f>
        <v>0.20894830837043199</v>
      </c>
      <c r="K13" s="122"/>
      <c r="L13" s="315" t="s">
        <v>997</v>
      </c>
      <c r="M13" s="323" t="str">
        <f>Output_Etapa1!$B$7</f>
        <v>Químicos</v>
      </c>
      <c r="N13" s="324">
        <f>INDEX(Output_Etapa1!$B$5:$R$14,MATCH(M13,Output_Etapa1!$B$5:$B$14,0),MATCH(L13,Output_Etapa1!$B$5:$R$5,0))</f>
        <v>3.4275180972928698E-2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1434.5087536490419</v>
      </c>
      <c r="K14" s="122"/>
      <c r="L14" s="321" t="s">
        <v>897</v>
      </c>
      <c r="M14" s="321"/>
      <c r="N14" s="284">
        <f>E6*((1+$N$13)^4)</f>
        <v>768.45189888790094</v>
      </c>
    </row>
    <row r="15" spans="1:14" x14ac:dyDescent="0.45">
      <c r="B15" s="168" t="s">
        <v>747</v>
      </c>
      <c r="C15" s="168"/>
      <c r="D15" s="6" t="s">
        <v>39</v>
      </c>
      <c r="E15" s="169">
        <f>C88</f>
        <v>0.11468535957175921</v>
      </c>
      <c r="F15" s="122"/>
      <c r="G15" s="122"/>
      <c r="H15" s="322" t="s">
        <v>874</v>
      </c>
      <c r="I15" s="322"/>
      <c r="J15" s="284">
        <f>E7*((1+$J$13)^4)</f>
        <v>20694.539854198243</v>
      </c>
      <c r="K15" s="122"/>
      <c r="L15" s="322" t="s">
        <v>874</v>
      </c>
      <c r="M15" s="322"/>
      <c r="N15" s="284">
        <f>E7*((1+$N$13)^4)</f>
        <v>11085.856678892498</v>
      </c>
    </row>
    <row r="16" spans="1:14" x14ac:dyDescent="0.45">
      <c r="B16" s="21" t="s">
        <v>232</v>
      </c>
      <c r="C16" s="21"/>
      <c r="D16" s="97"/>
      <c r="E16" s="284">
        <f>C89</f>
        <v>1036.767711833857</v>
      </c>
      <c r="F16" s="122"/>
      <c r="G16" s="122"/>
      <c r="H16" s="322" t="s">
        <v>903</v>
      </c>
      <c r="I16" s="322"/>
      <c r="J16" s="283">
        <f>E6*((1+$J$13)^7)</f>
        <v>2534.6990289335336</v>
      </c>
      <c r="K16" s="122"/>
      <c r="L16" s="322" t="s">
        <v>903</v>
      </c>
      <c r="M16" s="322"/>
      <c r="N16" s="283">
        <f>E6*((1+$N$13)^7)</f>
        <v>850.20762941679436</v>
      </c>
    </row>
    <row r="17" spans="1:14" x14ac:dyDescent="0.45">
      <c r="B17" s="21" t="s">
        <v>874</v>
      </c>
      <c r="C17" s="21"/>
      <c r="D17" s="21"/>
      <c r="E17" s="284">
        <f>C90</f>
        <v>14956.639809631184</v>
      </c>
      <c r="F17" s="122"/>
      <c r="G17" s="122"/>
      <c r="H17" s="322" t="s">
        <v>904</v>
      </c>
      <c r="I17" s="322"/>
      <c r="J17" s="283">
        <f>E7*((1+$J$13)^7)</f>
        <v>36566.127560554276</v>
      </c>
      <c r="K17" s="122"/>
      <c r="L17" s="322" t="s">
        <v>904</v>
      </c>
      <c r="M17" s="322"/>
      <c r="N17" s="283">
        <f>E7*((1+$N$13)^7)</f>
        <v>12265.282889736805</v>
      </c>
    </row>
    <row r="18" spans="1:14" x14ac:dyDescent="0.45">
      <c r="B18" s="21" t="s">
        <v>903</v>
      </c>
      <c r="C18" s="21"/>
      <c r="D18" s="21"/>
      <c r="E18" s="283">
        <f>$E$6*((1+$E$15)^7)</f>
        <v>1435.9468150814728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20715.285645780568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C96</f>
        <v>0.12234074761692335</v>
      </c>
      <c r="F21" s="122"/>
      <c r="G21" s="122"/>
      <c r="H21" s="315" t="s">
        <v>910</v>
      </c>
      <c r="I21" s="323" t="str">
        <f>Output_Etapa1!$B$7</f>
        <v>Químicos</v>
      </c>
      <c r="J21" s="324">
        <f>E5+INDEX(Output_Etapa1!$B$5:$R$14,MATCH(I21,Output_Etapa1!$B$5:$B$14,0),MATCH(H21,Output_Etapa1!$B$5:$R$5,0))</f>
        <v>0.11306661058776379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C97</f>
        <v>1065.5435334582367</v>
      </c>
      <c r="F22" s="122"/>
      <c r="G22" s="122"/>
      <c r="H22" s="321" t="s">
        <v>897</v>
      </c>
      <c r="I22" s="321"/>
      <c r="J22" s="284">
        <f>E6*((1+$J$21)^4)</f>
        <v>1030.7584306356439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C98</f>
        <v>15371.766162766507</v>
      </c>
      <c r="F23" s="122"/>
      <c r="G23" s="122"/>
      <c r="H23" s="322" t="s">
        <v>874</v>
      </c>
      <c r="I23" s="322"/>
      <c r="J23" s="284">
        <f>E7*((1+$J$21)^4)</f>
        <v>14869.948592909665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1506.4176303048919</v>
      </c>
      <c r="F24" s="122"/>
      <c r="G24" s="122"/>
      <c r="H24" s="322" t="s">
        <v>903</v>
      </c>
      <c r="I24" s="322"/>
      <c r="J24" s="283">
        <f>E6*((1+$J$21)^7)</f>
        <v>1421.4132548432103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21731.913178020561</v>
      </c>
      <c r="F25" s="122"/>
      <c r="G25" s="122"/>
      <c r="H25" s="322" t="s">
        <v>904</v>
      </c>
      <c r="I25" s="322"/>
      <c r="J25" s="283">
        <f>E7*((1+$J$21)^7)</f>
        <v>20505.621298449794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ht="28.25" customHeight="1" x14ac:dyDescent="0.45">
      <c r="A32" s="24"/>
      <c r="B32" s="117" t="s">
        <v>742</v>
      </c>
      <c r="C32" s="115">
        <f>'Proporção Eq energia verde'!J13</f>
        <v>4.2966530710647551E-2</v>
      </c>
      <c r="F32" s="86"/>
      <c r="G32" s="13"/>
    </row>
    <row r="33" spans="1:13" ht="28.5" x14ac:dyDescent="0.45">
      <c r="A33" s="24"/>
      <c r="B33" s="117" t="s">
        <v>915</v>
      </c>
      <c r="C33" s="161">
        <f>'Cenario B benchmark va'!C6</f>
        <v>3.9058239918750223E-3</v>
      </c>
    </row>
    <row r="34" spans="1:13" ht="28.5" x14ac:dyDescent="0.45">
      <c r="A34" s="24"/>
      <c r="B34" s="117" t="s">
        <v>916</v>
      </c>
      <c r="C34" s="161">
        <f>'Cenario B benchmark va'!D6</f>
        <v>1.1561212037039161E-2</v>
      </c>
    </row>
    <row r="35" spans="1:13" ht="28.25" customHeight="1" x14ac:dyDescent="0.45">
      <c r="A35" s="24"/>
      <c r="B35" s="117" t="s">
        <v>760</v>
      </c>
      <c r="C35" s="115">
        <v>0.19</v>
      </c>
      <c r="F35" s="86"/>
      <c r="G35" s="13"/>
    </row>
    <row r="36" spans="1:13" x14ac:dyDescent="0.45">
      <c r="A36" s="24"/>
      <c r="B36" s="116" t="s">
        <v>745</v>
      </c>
      <c r="C36" s="164" t="str">
        <f>IF(D58&lt;3%,"produto disruptivo", "produto representativo")</f>
        <v>produto representativo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45">
      <c r="A49" s="24"/>
      <c r="B49" s="106" t="s">
        <v>469</v>
      </c>
      <c r="C49" s="107">
        <f>VLOOKUP($B49,'Dados IBGE - VA'!$A$4:$G$423,2,FALSE)</f>
        <v>13556221</v>
      </c>
      <c r="D49" s="107">
        <f>VLOOKUP($B49,'Dados IBGE - VA'!$A$4:$G$423,3,FALSE)</f>
        <v>13582681</v>
      </c>
      <c r="E49" s="107">
        <f>VLOOKUP($B49,'Dados IBGE - VA'!$A$4:$G$423,4,FALSE)</f>
        <v>21160538</v>
      </c>
      <c r="F49" s="107">
        <f>VLOOKUP($B49,'Dados IBGE - VA'!$A$4:$G$423,5,FALSE)</f>
        <v>30502285</v>
      </c>
      <c r="G49" s="107">
        <f>VLOOKUP($B49,'Dados IBGE - VA'!$A$4:$G$423,6,FALSE)</f>
        <v>22248037</v>
      </c>
      <c r="H49" s="107">
        <f>VLOOKUP($B49,'Dados IBGE - VA'!$A$4:$G$423,7,FALSE)</f>
        <v>39517568</v>
      </c>
      <c r="I49" s="83">
        <f>C49*$C$28</f>
        <v>18467170.489346217</v>
      </c>
      <c r="K49" s="24"/>
      <c r="L49" s="24"/>
    </row>
    <row r="50" spans="1:13" x14ac:dyDescent="0.45">
      <c r="A50" s="24"/>
      <c r="B50" s="139" t="s">
        <v>470</v>
      </c>
      <c r="C50" s="107">
        <f>VLOOKUP($B50,'Dados IBGE - VA'!$A$4:$G$423,2,FALSE)</f>
        <v>13480510</v>
      </c>
      <c r="D50" s="107">
        <f>VLOOKUP($B50,'Dados IBGE - VA'!$A$4:$G$423,3,FALSE)</f>
        <v>13424208</v>
      </c>
      <c r="E50" s="107">
        <f>VLOOKUP($B50,'Dados IBGE - VA'!$A$4:$G$423,4,FALSE)</f>
        <v>20574754</v>
      </c>
      <c r="F50" s="107">
        <f>VLOOKUP($B50,'Dados IBGE - VA'!$A$4:$G$423,5,FALSE)</f>
        <v>30142347</v>
      </c>
      <c r="G50" s="107">
        <f>VLOOKUP($B50,'Dados IBGE - VA'!$A$4:$G$423,6,FALSE)</f>
        <v>20307677</v>
      </c>
      <c r="H50" s="107">
        <f>VLOOKUP($B50,'Dados IBGE - VA'!$A$4:$G$423,7,FALSE)</f>
        <v>37427409</v>
      </c>
      <c r="I50" s="87"/>
      <c r="K50" s="24"/>
      <c r="L50" s="24"/>
    </row>
    <row r="51" spans="1:13" x14ac:dyDescent="0.45">
      <c r="A51" s="24"/>
      <c r="B51" s="139" t="s">
        <v>471</v>
      </c>
      <c r="C51" s="107">
        <f>VLOOKUP($B51,'Dados IBGE - VA'!$A$4:$G$423,2,FALSE)</f>
        <v>75711</v>
      </c>
      <c r="D51" s="107">
        <f>VLOOKUP($B51,'Dados IBGE - VA'!$A$4:$G$423,3,FALSE)</f>
        <v>158473</v>
      </c>
      <c r="E51" s="107">
        <f>VLOOKUP($B51,'Dados IBGE - VA'!$A$4:$G$423,4,FALSE)</f>
        <v>585784</v>
      </c>
      <c r="F51" s="107">
        <f>VLOOKUP($B51,'Dados IBGE - VA'!$A$4:$G$423,5,FALSE)</f>
        <v>359938</v>
      </c>
      <c r="G51" s="107">
        <f>VLOOKUP($B51,'Dados IBGE - VA'!$A$4:$G$423,6,FALSE)</f>
        <v>1940360</v>
      </c>
      <c r="H51" s="107">
        <f>VLOOKUP($B51,'Dados IBGE - VA'!$A$4:$G$423,7,FALSE)</f>
        <v>2090159</v>
      </c>
      <c r="I51" s="11"/>
      <c r="K51" s="24"/>
      <c r="L51" s="24"/>
    </row>
    <row r="52" spans="1:13" x14ac:dyDescent="0.45">
      <c r="A52" s="24"/>
      <c r="C52" s="14"/>
      <c r="D52" s="14"/>
      <c r="E52" s="14"/>
      <c r="F52" s="14"/>
      <c r="G52" s="14"/>
      <c r="H52" s="14"/>
      <c r="I52" s="24"/>
      <c r="K52" s="24"/>
      <c r="L52" s="24"/>
    </row>
    <row r="53" spans="1:13" x14ac:dyDescent="0.45">
      <c r="A53" s="24"/>
      <c r="B53" s="75" t="s">
        <v>184</v>
      </c>
      <c r="C53" s="24"/>
      <c r="D53" s="24"/>
      <c r="E53" s="24"/>
      <c r="F53" s="24"/>
      <c r="G53" s="90"/>
      <c r="H53" s="24"/>
      <c r="I53" s="24"/>
      <c r="K53" s="24"/>
      <c r="L53" s="24"/>
    </row>
    <row r="54" spans="1:13" x14ac:dyDescent="0.45">
      <c r="A54" s="24"/>
      <c r="B54" s="170" t="s">
        <v>44</v>
      </c>
      <c r="C54" s="171" t="s">
        <v>43</v>
      </c>
      <c r="D54" s="171">
        <v>2021</v>
      </c>
      <c r="E54" s="171" t="s">
        <v>48</v>
      </c>
      <c r="F54" s="171" t="s">
        <v>39</v>
      </c>
      <c r="G54" s="90"/>
      <c r="I54" s="90"/>
      <c r="J54" s="24"/>
      <c r="K54" s="24"/>
    </row>
    <row r="55" spans="1:13" x14ac:dyDescent="0.45">
      <c r="A55" s="24"/>
      <c r="B55" s="228" t="s">
        <v>219</v>
      </c>
      <c r="C55" s="229">
        <f>C49*$C$31*$C$30/1000</f>
        <v>4440.2197123433762</v>
      </c>
      <c r="D55" s="229">
        <f>H49*$C$29/1000</f>
        <v>7508.3379199999999</v>
      </c>
      <c r="E55" s="230">
        <f>D55-C55</f>
        <v>3068.1182076566238</v>
      </c>
      <c r="F55" s="231">
        <f>(D55/C55)^(1/5)-1</f>
        <v>0.11077953557988418</v>
      </c>
      <c r="G55" s="90"/>
      <c r="H55" s="90"/>
      <c r="I55" s="90"/>
      <c r="J55" s="14"/>
      <c r="M55" s="14"/>
    </row>
    <row r="56" spans="1:13" x14ac:dyDescent="0.45">
      <c r="A56" s="24"/>
      <c r="B56" s="226" t="s">
        <v>807</v>
      </c>
      <c r="C56" s="224">
        <f>C50*$C$31*$C$30/1000</f>
        <v>4415.4212471485971</v>
      </c>
      <c r="D56" s="224">
        <f>H50*$C$29/1000</f>
        <v>7111.2077099999997</v>
      </c>
      <c r="E56" s="225">
        <f>D56-C56</f>
        <v>2695.7864628514026</v>
      </c>
      <c r="F56" s="227">
        <f>(D56/C56)^(1/5)-1</f>
        <v>0.1000039487664528</v>
      </c>
      <c r="G56" s="90"/>
      <c r="H56" s="90"/>
      <c r="I56" s="90"/>
      <c r="J56" s="14"/>
      <c r="M56" s="14"/>
    </row>
    <row r="57" spans="1:13" x14ac:dyDescent="0.45">
      <c r="A57" s="24"/>
      <c r="B57" s="232" t="s">
        <v>808</v>
      </c>
      <c r="C57" s="233">
        <f>C51*$C$31*$C$30/1000</f>
        <v>24.798465194778792</v>
      </c>
      <c r="D57" s="233">
        <f>H51*$C$29/1000</f>
        <v>397.13021000000003</v>
      </c>
      <c r="E57" s="234">
        <f>D57-C57</f>
        <v>372.33174480522126</v>
      </c>
      <c r="F57" s="235">
        <f>(D57/C57)^(1/5)-1</f>
        <v>0.74141236774120989</v>
      </c>
      <c r="G57" s="24"/>
      <c r="H57" s="24"/>
      <c r="I57" s="14"/>
      <c r="J57" s="14"/>
      <c r="M57" s="14"/>
    </row>
    <row r="58" spans="1:13" x14ac:dyDescent="0.45">
      <c r="A58" s="24"/>
      <c r="C58" s="131">
        <f>C57/C55</f>
        <v>5.584963538142378E-3</v>
      </c>
      <c r="D58" s="131">
        <f>D57/D55</f>
        <v>5.2891893549724525E-2</v>
      </c>
      <c r="E58" s="14"/>
      <c r="F58" s="14"/>
      <c r="G58" s="14"/>
      <c r="H58" s="14"/>
      <c r="I58" s="14"/>
      <c r="J58" s="14"/>
      <c r="M58" s="14"/>
    </row>
    <row r="59" spans="1:13" x14ac:dyDescent="0.45">
      <c r="A59" s="24"/>
      <c r="D59" s="131"/>
      <c r="E59" s="14"/>
      <c r="F59" s="14"/>
      <c r="G59" s="14"/>
      <c r="H59" s="14"/>
      <c r="I59" s="14"/>
      <c r="J59" s="14"/>
      <c r="M59" s="14"/>
    </row>
    <row r="60" spans="1:13" x14ac:dyDescent="0.45">
      <c r="A60" s="24" t="s">
        <v>50</v>
      </c>
      <c r="B60" s="74" t="s">
        <v>786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x14ac:dyDescent="0.45">
      <c r="A61" s="24"/>
      <c r="B61" s="75" t="s">
        <v>783</v>
      </c>
      <c r="C61" s="127"/>
      <c r="D61" s="127"/>
      <c r="E61" s="127"/>
      <c r="F61" s="127"/>
      <c r="G61" s="127"/>
      <c r="H61" s="127"/>
      <c r="I61" s="124"/>
      <c r="J61" s="24"/>
      <c r="K61" s="24"/>
    </row>
    <row r="62" spans="1:13" x14ac:dyDescent="0.45">
      <c r="A62" s="24"/>
      <c r="B62" s="20" t="s">
        <v>44</v>
      </c>
      <c r="C62" s="25">
        <v>2016</v>
      </c>
      <c r="D62" s="25">
        <v>2017</v>
      </c>
      <c r="E62" s="25">
        <v>2018</v>
      </c>
      <c r="F62" s="25">
        <v>2019</v>
      </c>
      <c r="G62" s="25">
        <v>2020</v>
      </c>
      <c r="H62" s="25">
        <v>2021</v>
      </c>
      <c r="J62" s="183" t="s">
        <v>782</v>
      </c>
      <c r="K62" s="24"/>
    </row>
    <row r="63" spans="1:13" x14ac:dyDescent="0.45">
      <c r="A63" s="24"/>
      <c r="B63" s="106" t="s">
        <v>469</v>
      </c>
      <c r="C63" s="78">
        <f>VLOOKUP($B63,'Dados IBGE - VPB'!$A$4:$G$423,2,FALSE)</f>
        <v>37663552</v>
      </c>
      <c r="D63" s="78">
        <f>VLOOKUP($B63,'Dados IBGE - VPB'!$A$4:$G$423,3,FALSE)</f>
        <v>38445996</v>
      </c>
      <c r="E63" s="78">
        <f>VLOOKUP($B63,'Dados IBGE - VPB'!$A$4:$G$423,4,FALSE)</f>
        <v>60150010</v>
      </c>
      <c r="F63" s="78">
        <f>VLOOKUP($B63,'Dados IBGE - VPB'!$A$4:$G$423,5,FALSE)</f>
        <v>83767927</v>
      </c>
      <c r="G63" s="78">
        <f>VLOOKUP($B63,'Dados IBGE - VPB'!$A$4:$G$423,6,FALSE)</f>
        <v>68676030</v>
      </c>
      <c r="H63" s="78">
        <f>VLOOKUP($B63,'Dados IBGE - VPB'!$A$4:$G$423,7,FALSE)</f>
        <v>122834271</v>
      </c>
      <c r="J63" s="11">
        <f t="shared" ref="J63:J64" si="0">H63*$C$29/1000</f>
        <v>23338.511490000001</v>
      </c>
      <c r="K63" s="24"/>
    </row>
    <row r="64" spans="1:13" x14ac:dyDescent="0.45">
      <c r="A64" s="24"/>
      <c r="B64" s="139" t="s">
        <v>470</v>
      </c>
      <c r="C64" s="186">
        <f>VLOOKUP($B64,'Dados IBGE - VPB'!$A$4:$G$423,2,FALSE)</f>
        <v>35161968</v>
      </c>
      <c r="D64" s="186">
        <f>VLOOKUP($B64,'Dados IBGE - VPB'!$A$4:$G$423,3,FALSE)</f>
        <v>35749337</v>
      </c>
      <c r="E64" s="186">
        <f>VLOOKUP($B64,'Dados IBGE - VPB'!$A$4:$G$423,4,FALSE)</f>
        <v>53319631</v>
      </c>
      <c r="F64" s="186">
        <f>VLOOKUP($B64,'Dados IBGE - VPB'!$A$4:$G$423,5,FALSE)</f>
        <v>76452751</v>
      </c>
      <c r="G64" s="186">
        <f>VLOOKUP($B64,'Dados IBGE - VPB'!$A$4:$G$423,6,FALSE)</f>
        <v>54379334</v>
      </c>
      <c r="H64" s="186">
        <f>VLOOKUP($B64,'Dados IBGE - VPB'!$A$4:$G$423,7,FALSE)</f>
        <v>92681176</v>
      </c>
      <c r="J64" s="11">
        <f t="shared" si="0"/>
        <v>17609.423440000002</v>
      </c>
      <c r="K64" s="24"/>
    </row>
    <row r="65" spans="1:13" x14ac:dyDescent="0.45">
      <c r="A65" s="24"/>
      <c r="B65" s="139" t="s">
        <v>471</v>
      </c>
      <c r="C65" s="186">
        <f>VLOOKUP($B65,'Dados IBGE - VPB'!$A$4:$G$423,2,FALSE)</f>
        <v>2501584</v>
      </c>
      <c r="D65" s="186">
        <f>VLOOKUP($B65,'Dados IBGE - VPB'!$A$4:$G$423,3,FALSE)</f>
        <v>2696659</v>
      </c>
      <c r="E65" s="186">
        <f>VLOOKUP($B65,'Dados IBGE - VPB'!$A$4:$G$423,4,FALSE)</f>
        <v>6830379</v>
      </c>
      <c r="F65" s="186">
        <f>VLOOKUP($B65,'Dados IBGE - VPB'!$A$4:$G$423,5,FALSE)</f>
        <v>7315176</v>
      </c>
      <c r="G65" s="186">
        <f>VLOOKUP($B65,'Dados IBGE - VPB'!$A$4:$G$423,6,FALSE)</f>
        <v>14296696</v>
      </c>
      <c r="H65" s="186">
        <f>VLOOKUP($B65,'Dados IBGE - VPB'!$A$4:$G$423,7,FALSE)</f>
        <v>30153095</v>
      </c>
      <c r="J65" s="187">
        <f>H65*$C$29/1000</f>
        <v>5729.0880499999994</v>
      </c>
      <c r="K65" s="24"/>
    </row>
    <row r="66" spans="1:13" x14ac:dyDescent="0.45">
      <c r="A66" s="24"/>
      <c r="B66" s="109"/>
      <c r="C66" s="130"/>
      <c r="D66" s="130"/>
      <c r="E66" s="130"/>
      <c r="F66" s="130"/>
      <c r="G66" s="130"/>
      <c r="H66" s="130"/>
      <c r="I66" s="11"/>
      <c r="J66" s="182"/>
      <c r="K66" s="24"/>
    </row>
    <row r="67" spans="1:13" x14ac:dyDescent="0.45">
      <c r="A67" s="24"/>
      <c r="C67" s="14"/>
      <c r="D67" s="14"/>
      <c r="E67" s="14"/>
      <c r="F67" s="14"/>
      <c r="G67" s="14"/>
      <c r="H67" s="14"/>
    </row>
    <row r="68" spans="1:13" x14ac:dyDescent="0.45">
      <c r="A68" s="24" t="s">
        <v>784</v>
      </c>
      <c r="B68" s="21" t="s">
        <v>877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 spans="1:13" x14ac:dyDescent="0.45">
      <c r="B69" s="73" t="s">
        <v>229</v>
      </c>
    </row>
    <row r="70" spans="1:13" x14ac:dyDescent="0.45">
      <c r="B70" s="73"/>
    </row>
    <row r="71" spans="1:13" x14ac:dyDescent="0.45">
      <c r="B71" t="s">
        <v>817</v>
      </c>
      <c r="C71">
        <f>2026-2021</f>
        <v>5</v>
      </c>
    </row>
    <row r="72" spans="1:13" x14ac:dyDescent="0.45">
      <c r="B72" t="s">
        <v>818</v>
      </c>
      <c r="C72">
        <f>2030-2026</f>
        <v>4</v>
      </c>
    </row>
    <row r="73" spans="1:13" x14ac:dyDescent="0.45">
      <c r="B73" s="73"/>
    </row>
    <row r="74" spans="1:13" x14ac:dyDescent="0.45">
      <c r="B74" s="1" t="s">
        <v>858</v>
      </c>
    </row>
    <row r="75" spans="1:13" x14ac:dyDescent="0.45">
      <c r="B75" s="270" t="s">
        <v>852</v>
      </c>
      <c r="C75" s="271"/>
      <c r="D75" s="271"/>
      <c r="E75" s="271"/>
    </row>
    <row r="76" spans="1:13" x14ac:dyDescent="0.45">
      <c r="B76" s="23" t="s">
        <v>862</v>
      </c>
      <c r="C76" s="144">
        <f>F55</f>
        <v>0.11077953557988418</v>
      </c>
      <c r="D76" s="85"/>
    </row>
    <row r="77" spans="1:13" x14ac:dyDescent="0.45">
      <c r="B77" s="23" t="s">
        <v>863</v>
      </c>
      <c r="C77" s="87">
        <f>D57*((1+C76)^C71)</f>
        <v>671.54060116247979</v>
      </c>
      <c r="D77" s="98"/>
      <c r="E77" s="98"/>
    </row>
    <row r="78" spans="1:13" x14ac:dyDescent="0.45">
      <c r="B78" s="23" t="s">
        <v>864</v>
      </c>
      <c r="C78" s="178">
        <f>J65*((1+C76)^C71)</f>
        <v>9687.7929110700952</v>
      </c>
      <c r="D78" s="85"/>
    </row>
    <row r="79" spans="1:13" x14ac:dyDescent="0.45">
      <c r="B79" s="23"/>
      <c r="C79" s="178"/>
      <c r="D79" s="85"/>
    </row>
    <row r="80" spans="1:13" x14ac:dyDescent="0.45">
      <c r="B80" s="1" t="s">
        <v>859</v>
      </c>
    </row>
    <row r="81" spans="2:5" x14ac:dyDescent="0.45">
      <c r="B81" s="270" t="s">
        <v>852</v>
      </c>
      <c r="C81" s="271"/>
      <c r="D81" s="271"/>
      <c r="E81" s="271"/>
    </row>
    <row r="82" spans="2:5" x14ac:dyDescent="0.45">
      <c r="B82" s="23" t="s">
        <v>862</v>
      </c>
      <c r="C82" s="144">
        <f>C76</f>
        <v>0.11077953557988418</v>
      </c>
      <c r="D82" s="85"/>
    </row>
    <row r="83" spans="2:5" x14ac:dyDescent="0.45">
      <c r="B83" s="23" t="s">
        <v>880</v>
      </c>
      <c r="C83" s="87">
        <f>C77*((1+C82)^C72)</f>
        <v>1022.3126973858297</v>
      </c>
      <c r="D83" s="98"/>
      <c r="E83" s="98"/>
    </row>
    <row r="84" spans="2:5" x14ac:dyDescent="0.45">
      <c r="B84" s="23" t="s">
        <v>881</v>
      </c>
      <c r="C84" s="178">
        <f>C78*((1+C82)^C72)</f>
        <v>14748.108581204189</v>
      </c>
      <c r="D84" s="85"/>
    </row>
    <row r="85" spans="2:5" x14ac:dyDescent="0.45">
      <c r="B85" s="23"/>
      <c r="C85" s="178"/>
      <c r="D85" s="85"/>
    </row>
    <row r="86" spans="2:5" x14ac:dyDescent="0.45">
      <c r="B86" s="1" t="s">
        <v>860</v>
      </c>
    </row>
    <row r="87" spans="2:5" x14ac:dyDescent="0.45">
      <c r="B87" s="270" t="s">
        <v>865</v>
      </c>
      <c r="C87" s="271"/>
      <c r="D87" s="271"/>
      <c r="E87" s="271"/>
    </row>
    <row r="88" spans="2:5" x14ac:dyDescent="0.45">
      <c r="B88" s="23" t="s">
        <v>866</v>
      </c>
      <c r="C88" s="144">
        <f>C76+C33</f>
        <v>0.11468535957175921</v>
      </c>
      <c r="D88" s="85"/>
    </row>
    <row r="89" spans="2:5" ht="17" customHeight="1" x14ac:dyDescent="0.45">
      <c r="B89" s="23" t="s">
        <v>880</v>
      </c>
      <c r="C89" s="248">
        <f>C77*((1+C88)^C72)</f>
        <v>1036.767711833857</v>
      </c>
      <c r="D89" s="98"/>
      <c r="E89" s="98"/>
    </row>
    <row r="90" spans="2:5" ht="17" customHeight="1" x14ac:dyDescent="0.45">
      <c r="B90" s="23" t="s">
        <v>881</v>
      </c>
      <c r="C90" s="178">
        <f>C78*((1+C88)^C72)</f>
        <v>14956.639809631184</v>
      </c>
      <c r="D90" s="85"/>
    </row>
    <row r="91" spans="2:5" ht="17" customHeight="1" x14ac:dyDescent="0.45"/>
    <row r="92" spans="2:5" ht="17" customHeight="1" x14ac:dyDescent="0.45">
      <c r="B92" s="274" t="s">
        <v>849</v>
      </c>
      <c r="C92" s="274" t="str">
        <f>C36</f>
        <v>produto representativo</v>
      </c>
    </row>
    <row r="93" spans="2:5" ht="17" customHeight="1" x14ac:dyDescent="0.45"/>
    <row r="94" spans="2:5" x14ac:dyDescent="0.45">
      <c r="B94" s="1" t="s">
        <v>861</v>
      </c>
    </row>
    <row r="95" spans="2:5" x14ac:dyDescent="0.45">
      <c r="B95" s="270" t="s">
        <v>882</v>
      </c>
      <c r="C95" s="271"/>
      <c r="D95" s="271"/>
      <c r="E95" s="271"/>
    </row>
    <row r="96" spans="2:5" ht="17" customHeight="1" x14ac:dyDescent="0.45">
      <c r="B96" s="23" t="s">
        <v>917</v>
      </c>
      <c r="C96" s="144">
        <f>IF(AND((C92="produto disruptivo"),(C35&gt;(C76+C34))),C35,(C76+C34))</f>
        <v>0.12234074761692335</v>
      </c>
      <c r="D96" s="85"/>
    </row>
    <row r="97" spans="2:5" ht="17" customHeight="1" x14ac:dyDescent="0.45">
      <c r="B97" s="23" t="s">
        <v>880</v>
      </c>
      <c r="C97" s="248">
        <f>C77*((1+C96)^C72)</f>
        <v>1065.5435334582367</v>
      </c>
      <c r="D97" s="282"/>
    </row>
    <row r="98" spans="2:5" ht="17" customHeight="1" x14ac:dyDescent="0.45">
      <c r="B98" s="23" t="s">
        <v>881</v>
      </c>
      <c r="C98" s="178">
        <f>C78*((1+C96)^C72)</f>
        <v>15371.766162766507</v>
      </c>
      <c r="D98" s="282"/>
      <c r="E98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4F89-417F-4A98-BE52-D38ADAF5829E}">
  <dimension ref="A1:N98"/>
  <sheetViews>
    <sheetView showGridLines="0" zoomScale="85" zoomScaleNormal="160" workbookViewId="0"/>
  </sheetViews>
  <sheetFormatPr defaultColWidth="8.86328125"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7" width="18.6640625" customWidth="1"/>
    <col min="8" max="8" width="16" customWidth="1"/>
    <col min="9" max="9" width="14.6640625" customWidth="1"/>
    <col min="10" max="10" width="13.6640625" bestFit="1" customWidth="1"/>
    <col min="11" max="12" width="16.53125" customWidth="1"/>
    <col min="13" max="13" width="15.1328125" customWidth="1"/>
    <col min="14" max="14" width="11.86328125" customWidth="1"/>
  </cols>
  <sheetData>
    <row r="1" spans="1:14" s="69" customFormat="1" ht="22.25" customHeight="1" thickBot="1" x14ac:dyDescent="0.6">
      <c r="A1" s="70" t="s">
        <v>821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C70</f>
        <v>9.2473181116377923E-2</v>
      </c>
      <c r="F5" s="122"/>
      <c r="G5" s="122"/>
      <c r="H5" s="315" t="s">
        <v>908</v>
      </c>
      <c r="I5" s="323" t="str">
        <f>Output_Etapa1!$B$8</f>
        <v>Metais básicos</v>
      </c>
      <c r="J5" s="324">
        <f>E5+INDEX(Output_Etapa1!$B$5:$R$14,MATCH(I5,Output_Etapa1!$B$5:$B$14,0),MATCH(H5,Output_Etapa1!$B$5:$R$5,0))</f>
        <v>9.9915208776692577E-2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C73</f>
        <v>122.49292013183128</v>
      </c>
      <c r="F6" s="122"/>
      <c r="G6" s="122"/>
      <c r="H6" s="321" t="s">
        <v>897</v>
      </c>
      <c r="I6" s="321"/>
      <c r="J6" s="284">
        <f>$C$71*((1+J5)^4)*$C$34</f>
        <v>2151.4391275976272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C74</f>
        <v>494.02693204191161</v>
      </c>
      <c r="F7" s="122"/>
      <c r="G7" s="122"/>
      <c r="H7" s="322" t="s">
        <v>874</v>
      </c>
      <c r="I7" s="322"/>
      <c r="J7" s="284">
        <f>$C$72*((1+J5)^4)*$C$34</f>
        <v>8676.9820699684897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4">
        <f>$C$71*((1+J5)^7)*$C$34</f>
        <v>2862.9033338206755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C78</f>
        <v>9.2473181116377923E-2</v>
      </c>
      <c r="F9" s="122"/>
      <c r="G9" s="122"/>
      <c r="H9" s="322" t="s">
        <v>904</v>
      </c>
      <c r="I9" s="322"/>
      <c r="J9" s="284">
        <f>$C$72*((1+J5)^7)*$C$34</f>
        <v>11546.392634103368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C79</f>
        <v>174.48340407088372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C80</f>
        <v>703.71006514169858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227.50265986475804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917.54234418936346</v>
      </c>
      <c r="F13" s="122"/>
      <c r="G13" s="122"/>
      <c r="H13" s="315" t="s">
        <v>909</v>
      </c>
      <c r="I13" s="323" t="str">
        <f>Output_Etapa1!$B$8</f>
        <v>Metais básicos</v>
      </c>
      <c r="J13" s="324">
        <f>E5+INDEX(Output_Etapa1!$B$5:$R$14,MATCH(I13,Output_Etapa1!$B$5:$B$14,0),MATCH(H13,Output_Etapa1!$B$5:$R$5,0))</f>
        <v>0.2511233591312807</v>
      </c>
      <c r="K13" s="122"/>
      <c r="L13" s="315" t="s">
        <v>997</v>
      </c>
      <c r="M13" s="323" t="str">
        <f>Output_Etapa1!$B$8</f>
        <v>Metais básicos</v>
      </c>
      <c r="N13" s="324">
        <f>INDEX(Output_Etapa1!$B$5:$R$14,MATCH(M13,Output_Etapa1!$B$5:$B$14,0),MATCH(L13,Output_Etapa1!$B$5:$R$5,0))</f>
        <v>3.9943307061982347E-2</v>
      </c>
    </row>
    <row r="14" spans="1:14" x14ac:dyDescent="0.45">
      <c r="F14" s="122"/>
      <c r="G14" s="122"/>
      <c r="H14" s="321" t="s">
        <v>897</v>
      </c>
      <c r="I14" s="321"/>
      <c r="J14" s="284">
        <f>$C$71*((1+J13)^4)*$C$34</f>
        <v>3601.577501862731</v>
      </c>
      <c r="K14" s="122"/>
      <c r="L14" s="321" t="s">
        <v>897</v>
      </c>
      <c r="M14" s="321"/>
      <c r="N14" s="284">
        <f>E6*((1+$N$13)^4)</f>
        <v>143.2681473124226</v>
      </c>
    </row>
    <row r="15" spans="1:14" x14ac:dyDescent="0.45">
      <c r="B15" s="168" t="s">
        <v>747</v>
      </c>
      <c r="C15" s="168"/>
      <c r="D15" s="6" t="s">
        <v>39</v>
      </c>
      <c r="E15" s="169">
        <f>C84</f>
        <v>0.10396812299384875</v>
      </c>
      <c r="F15" s="122"/>
      <c r="G15" s="122"/>
      <c r="H15" s="322" t="s">
        <v>874</v>
      </c>
      <c r="I15" s="322"/>
      <c r="J15" s="284">
        <f>$C$72*((1+J13)^4)*$C$34</f>
        <v>14525.543858710331</v>
      </c>
      <c r="K15" s="122"/>
      <c r="L15" s="322" t="s">
        <v>874</v>
      </c>
      <c r="M15" s="322"/>
      <c r="N15" s="284">
        <f>E7*((1+$N$13)^4)</f>
        <v>577.81562558807968</v>
      </c>
    </row>
    <row r="16" spans="1:14" x14ac:dyDescent="0.45">
      <c r="B16" s="21" t="s">
        <v>232</v>
      </c>
      <c r="C16" s="21"/>
      <c r="D16" s="97"/>
      <c r="E16" s="284">
        <f>C87</f>
        <v>2183.3248983737508</v>
      </c>
      <c r="F16" s="122"/>
      <c r="G16" s="122"/>
      <c r="H16" s="322" t="s">
        <v>903</v>
      </c>
      <c r="I16" s="322"/>
      <c r="J16" s="284">
        <f>$C$71*((1+J13)^7)*$C$34</f>
        <v>7053.3130990932486</v>
      </c>
      <c r="K16" s="122"/>
      <c r="L16" s="322" t="s">
        <v>903</v>
      </c>
      <c r="M16" s="322"/>
      <c r="N16" s="283">
        <f>E6*((1+$N$13)^7)</f>
        <v>161.13082748138592</v>
      </c>
    </row>
    <row r="17" spans="1:14" x14ac:dyDescent="0.45">
      <c r="B17" s="21" t="s">
        <v>874</v>
      </c>
      <c r="C17" s="21"/>
      <c r="D17" s="21"/>
      <c r="E17" s="284">
        <f>C88</f>
        <v>8805.5807636347581</v>
      </c>
      <c r="F17" s="122"/>
      <c r="G17" s="122"/>
      <c r="H17" s="322" t="s">
        <v>904</v>
      </c>
      <c r="I17" s="322"/>
      <c r="J17" s="284">
        <f>$C$72*((1+J13)^7)*$C$34</f>
        <v>28446.759431695253</v>
      </c>
      <c r="K17" s="122"/>
      <c r="L17" s="322" t="s">
        <v>904</v>
      </c>
      <c r="M17" s="322"/>
      <c r="N17" s="283">
        <f>E7*((1+$N$13)^7)</f>
        <v>649.85770828495276</v>
      </c>
    </row>
    <row r="18" spans="1:14" x14ac:dyDescent="0.45">
      <c r="B18" s="21" t="s">
        <v>903</v>
      </c>
      <c r="C18" s="21"/>
      <c r="D18" s="21"/>
      <c r="E18" s="283">
        <f>$E$16*((1+$E$15)^3)</f>
        <v>2937.5682629346684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$E$17*((1+$E$15)^3)</f>
        <v>11847.524208251605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C94</f>
        <v>0.1383176139765685</v>
      </c>
      <c r="F21" s="122"/>
      <c r="G21" s="122"/>
      <c r="H21" s="315" t="s">
        <v>910</v>
      </c>
      <c r="I21" s="323" t="str">
        <f>Output_Etapa1!$B$8</f>
        <v>Metais básicos</v>
      </c>
      <c r="J21" s="324">
        <f>E5+INDEX(Output_Etapa1!$B$5:$R$14,MATCH(I21,Output_Etapa1!$B$5:$B$14,0),MATCH(H21,Output_Etapa1!$B$5:$R$5,0))</f>
        <v>7.4478322949275366E-2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C97</f>
        <v>2468.0051306801397</v>
      </c>
      <c r="F22" s="122"/>
      <c r="G22" s="122"/>
      <c r="H22" s="321" t="s">
        <v>897</v>
      </c>
      <c r="I22" s="321"/>
      <c r="J22" s="284">
        <f>$C$71*((1+J21)^4)*$C$34</f>
        <v>1959.2184731558189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C98</f>
        <v>9953.7263187243298</v>
      </c>
      <c r="F23" s="122"/>
      <c r="G23" s="122"/>
      <c r="H23" s="322" t="s">
        <v>874</v>
      </c>
      <c r="I23" s="322"/>
      <c r="J23" s="284">
        <f>$C$72*((1+J21)^4)*$C$34</f>
        <v>7901.7357938018904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$E$22*((1+$E$21)^3)</f>
        <v>3640.2937189267445</v>
      </c>
      <c r="F24" s="122"/>
      <c r="G24" s="122"/>
      <c r="H24" s="322" t="s">
        <v>903</v>
      </c>
      <c r="I24" s="322"/>
      <c r="J24" s="284">
        <f>$C$71*((1+J21)^7)*$C$34</f>
        <v>2430.3892846960039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$E$23*((1+$E$21)^3)</f>
        <v>14681.69046633319</v>
      </c>
      <c r="F25" s="122"/>
      <c r="G25" s="122"/>
      <c r="H25" s="322" t="s">
        <v>904</v>
      </c>
      <c r="I25" s="322"/>
      <c r="J25" s="284">
        <f>$C$72*((1+J21)^7)*$C$34</f>
        <v>9802.0176243140431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x14ac:dyDescent="0.45">
      <c r="A32" s="24"/>
      <c r="B32" s="116" t="s">
        <v>758</v>
      </c>
      <c r="C32" s="161">
        <f>'Cenario B benchmark va'!C7</f>
        <v>1.149494187747082E-2</v>
      </c>
    </row>
    <row r="33" spans="1:13" x14ac:dyDescent="0.45">
      <c r="A33" s="24"/>
      <c r="B33" s="116" t="s">
        <v>744</v>
      </c>
      <c r="C33" s="161">
        <f>'Cenario B benchmark va'!D7</f>
        <v>4.584443286019059E-2</v>
      </c>
    </row>
    <row r="34" spans="1:13" ht="20.45" customHeight="1" x14ac:dyDescent="0.45">
      <c r="A34" s="24"/>
      <c r="B34" s="117" t="s">
        <v>936</v>
      </c>
      <c r="C34" s="115">
        <v>0.12</v>
      </c>
      <c r="D34" s="166" t="s">
        <v>1009</v>
      </c>
      <c r="F34" s="86"/>
    </row>
    <row r="35" spans="1:13" ht="20.45" customHeight="1" x14ac:dyDescent="0.45">
      <c r="A35" s="24"/>
      <c r="B35" s="117" t="s">
        <v>937</v>
      </c>
      <c r="C35" s="115">
        <v>0.01</v>
      </c>
      <c r="F35" s="86"/>
    </row>
    <row r="36" spans="1:13" x14ac:dyDescent="0.45">
      <c r="A36" s="24"/>
      <c r="B36" s="116" t="s">
        <v>745</v>
      </c>
      <c r="C36" s="164" t="str">
        <f>IF(D55&lt;3%,"produto disruptivo", "produto representativo")</f>
        <v>produto disruptivo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45">
      <c r="A49" s="24"/>
      <c r="B49" s="215" t="s">
        <v>534</v>
      </c>
      <c r="C49" s="107">
        <f>VLOOKUP($B49,'Dados IBGE - VA'!$A$4:$G$423,2,FALSE)</f>
        <v>15443201</v>
      </c>
      <c r="D49" s="107">
        <f>VLOOKUP($B49,'Dados IBGE - VA'!$A$4:$G$423,3,FALSE)</f>
        <v>17976559</v>
      </c>
      <c r="E49" s="107">
        <f>VLOOKUP($B49,'Dados IBGE - VA'!$A$4:$G$423,4,FALSE)</f>
        <v>29211216</v>
      </c>
      <c r="F49" s="107">
        <f>VLOOKUP($B49,'Dados IBGE - VA'!$A$4:$G$423,5,FALSE)</f>
        <v>19224545</v>
      </c>
      <c r="G49" s="107">
        <f>VLOOKUP($B49,'Dados IBGE - VA'!$A$4:$G$423,6,FALSE)</f>
        <v>25952442</v>
      </c>
      <c r="H49" s="107">
        <f>VLOOKUP($B49,'Dados IBGE - VA'!$A$4:$G$423,7,FALSE)</f>
        <v>79109731</v>
      </c>
      <c r="I49" s="83">
        <f>C49*$C$28</f>
        <v>21037738.00738731</v>
      </c>
      <c r="K49" s="24"/>
      <c r="L49" s="24"/>
    </row>
    <row r="50" spans="1:13" x14ac:dyDescent="0.45">
      <c r="A50" s="24"/>
      <c r="C50" s="14"/>
      <c r="D50" s="14"/>
      <c r="E50" s="14"/>
      <c r="F50" s="14"/>
      <c r="G50" s="14"/>
      <c r="H50" s="24"/>
      <c r="I50" s="24"/>
      <c r="K50" s="24"/>
      <c r="L50" s="24"/>
    </row>
    <row r="51" spans="1:13" x14ac:dyDescent="0.45">
      <c r="A51" s="24"/>
      <c r="B51" s="75" t="s">
        <v>184</v>
      </c>
      <c r="C51" s="24"/>
      <c r="D51" s="24"/>
      <c r="E51" s="24"/>
      <c r="F51" s="24"/>
      <c r="G51" s="90"/>
      <c r="H51" s="24"/>
      <c r="I51" s="24"/>
      <c r="K51" s="24"/>
      <c r="L51" s="24"/>
    </row>
    <row r="52" spans="1:13" x14ac:dyDescent="0.45">
      <c r="A52" s="24"/>
      <c r="B52" s="170" t="s">
        <v>44</v>
      </c>
      <c r="C52" s="171" t="s">
        <v>43</v>
      </c>
      <c r="D52" s="171">
        <v>2021</v>
      </c>
      <c r="E52" s="171" t="s">
        <v>48</v>
      </c>
      <c r="F52" s="171" t="s">
        <v>39</v>
      </c>
      <c r="G52" s="90"/>
      <c r="H52" s="166" t="s">
        <v>1005</v>
      </c>
      <c r="I52" s="90"/>
      <c r="J52" s="24"/>
      <c r="K52" s="24"/>
    </row>
    <row r="53" spans="1:13" x14ac:dyDescent="0.45">
      <c r="A53" s="24"/>
      <c r="B53" s="22" t="s">
        <v>824</v>
      </c>
      <c r="C53" s="84">
        <f>C49*$C$31*$C$30/1000</f>
        <v>5058.283241463896</v>
      </c>
      <c r="D53" s="84">
        <f>(AVERAGE(F49:H49)*$C$29/1000)</f>
        <v>7871.4921399999994</v>
      </c>
      <c r="E53" s="94">
        <f>D53-C53</f>
        <v>2813.2088985361033</v>
      </c>
      <c r="F53" s="95">
        <f>(D53/C53)^(1/5)-1</f>
        <v>9.2473181116377923E-2</v>
      </c>
      <c r="G53" s="90"/>
      <c r="H53" s="90"/>
      <c r="I53" s="90"/>
      <c r="J53" s="14"/>
      <c r="M53" s="14"/>
    </row>
    <row r="54" spans="1:13" x14ac:dyDescent="0.45">
      <c r="A54" s="24"/>
      <c r="B54" s="23" t="s">
        <v>825</v>
      </c>
      <c r="C54" s="87"/>
      <c r="D54" s="87">
        <f>D55*D53</f>
        <v>78.714921399999994</v>
      </c>
      <c r="E54" s="248"/>
      <c r="F54" s="95"/>
      <c r="G54" s="90"/>
      <c r="H54" s="90"/>
      <c r="I54" s="90"/>
      <c r="J54" s="14"/>
      <c r="M54" s="14"/>
    </row>
    <row r="55" spans="1:13" x14ac:dyDescent="0.45">
      <c r="A55" s="24"/>
      <c r="D55" s="131">
        <f>C35</f>
        <v>0.01</v>
      </c>
      <c r="E55" s="14"/>
      <c r="F55" s="14"/>
      <c r="G55" s="14"/>
      <c r="H55" s="14"/>
      <c r="I55" s="14"/>
      <c r="J55" s="14"/>
      <c r="M55" s="14"/>
    </row>
    <row r="56" spans="1:13" x14ac:dyDescent="0.45">
      <c r="A56" s="24" t="s">
        <v>50</v>
      </c>
      <c r="B56" s="74" t="s">
        <v>786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45">
      <c r="A57" s="24"/>
      <c r="B57" s="75" t="s">
        <v>783</v>
      </c>
      <c r="C57" s="127"/>
      <c r="D57" s="127"/>
      <c r="E57" s="127"/>
      <c r="F57" s="127"/>
      <c r="G57" s="127"/>
      <c r="H57" s="127"/>
      <c r="I57" s="124"/>
      <c r="J57" s="24"/>
      <c r="K57" s="24"/>
    </row>
    <row r="58" spans="1:13" x14ac:dyDescent="0.45">
      <c r="A58" s="24"/>
      <c r="B58" s="20" t="s">
        <v>44</v>
      </c>
      <c r="C58" s="25">
        <v>2016</v>
      </c>
      <c r="D58" s="25">
        <v>2017</v>
      </c>
      <c r="E58" s="25">
        <v>2018</v>
      </c>
      <c r="F58" s="25">
        <v>2019</v>
      </c>
      <c r="G58" s="25">
        <v>2020</v>
      </c>
      <c r="H58" s="25">
        <v>2021</v>
      </c>
      <c r="J58" s="183" t="s">
        <v>782</v>
      </c>
      <c r="K58" s="24"/>
    </row>
    <row r="59" spans="1:13" x14ac:dyDescent="0.45">
      <c r="A59" s="24"/>
      <c r="B59" s="215" t="s">
        <v>534</v>
      </c>
      <c r="C59" s="78">
        <f>VLOOKUP($B59,'Dados IBGE - VPB'!$A$4:$G$423,2,FALSE)</f>
        <v>73323563</v>
      </c>
      <c r="D59" s="78">
        <f>VLOOKUP($B59,'Dados IBGE - VPB'!$A$4:$G$423,3,FALSE)</f>
        <v>89866350</v>
      </c>
      <c r="E59" s="78">
        <f>VLOOKUP($B59,'Dados IBGE - VPB'!$A$4:$G$423,4,FALSE)</f>
        <v>122896872</v>
      </c>
      <c r="F59" s="78">
        <f>VLOOKUP($B59,'Dados IBGE - VPB'!$A$4:$G$423,5,FALSE)</f>
        <v>115637359</v>
      </c>
      <c r="G59" s="78">
        <f>VLOOKUP($B59,'Dados IBGE - VPB'!$A$4:$G$423,6,FALSE)</f>
        <v>126553159</v>
      </c>
      <c r="H59" s="78">
        <f>VLOOKUP($B59,'Dados IBGE - VPB'!$A$4:$G$423,7,FALSE)</f>
        <v>259070991</v>
      </c>
      <c r="J59" s="187">
        <f>AVERAGE(F59:H59)*$C$29/1000</f>
        <v>31746.562236666665</v>
      </c>
      <c r="K59" s="24"/>
    </row>
    <row r="60" spans="1:13" x14ac:dyDescent="0.45">
      <c r="A60" s="24"/>
      <c r="B60" s="109"/>
      <c r="C60" s="130"/>
      <c r="D60" s="130"/>
      <c r="E60" s="130"/>
      <c r="F60" s="130"/>
      <c r="G60" s="130"/>
      <c r="H60" s="130"/>
      <c r="I60" s="11" t="s">
        <v>806</v>
      </c>
      <c r="J60" s="182">
        <f>D54*J59/D53</f>
        <v>317.46562236666665</v>
      </c>
      <c r="K60" s="24"/>
    </row>
    <row r="61" spans="1:13" x14ac:dyDescent="0.45">
      <c r="A61" s="24"/>
      <c r="B61" s="109"/>
      <c r="C61" s="130"/>
      <c r="D61" s="130"/>
      <c r="E61" s="130"/>
      <c r="F61" s="130"/>
      <c r="G61" s="130"/>
      <c r="H61" s="130"/>
      <c r="I61" s="11"/>
      <c r="J61" s="182"/>
      <c r="K61" s="24"/>
    </row>
    <row r="62" spans="1:13" x14ac:dyDescent="0.45">
      <c r="A62" s="24" t="s">
        <v>784</v>
      </c>
      <c r="B62" s="21" t="s">
        <v>877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 spans="1:13" x14ac:dyDescent="0.45">
      <c r="B63" s="73" t="s">
        <v>229</v>
      </c>
    </row>
    <row r="64" spans="1:13" x14ac:dyDescent="0.45">
      <c r="B64" s="73"/>
    </row>
    <row r="65" spans="2:5" x14ac:dyDescent="0.45">
      <c r="B65" t="s">
        <v>817</v>
      </c>
      <c r="C65">
        <f>2026-2021</f>
        <v>5</v>
      </c>
    </row>
    <row r="66" spans="2:5" x14ac:dyDescent="0.45">
      <c r="B66" t="s">
        <v>818</v>
      </c>
      <c r="C66">
        <f>2030-2026</f>
        <v>4</v>
      </c>
    </row>
    <row r="67" spans="2:5" x14ac:dyDescent="0.45">
      <c r="B67" s="73"/>
    </row>
    <row r="68" spans="2:5" x14ac:dyDescent="0.45">
      <c r="B68" s="1" t="s">
        <v>858</v>
      </c>
    </row>
    <row r="69" spans="2:5" x14ac:dyDescent="0.45">
      <c r="B69" s="270" t="s">
        <v>852</v>
      </c>
      <c r="C69" s="271"/>
      <c r="D69" s="271"/>
      <c r="E69" s="271"/>
    </row>
    <row r="70" spans="2:5" x14ac:dyDescent="0.45">
      <c r="B70" s="23" t="s">
        <v>862</v>
      </c>
      <c r="C70" s="144">
        <f>F53</f>
        <v>9.2473181116377923E-2</v>
      </c>
      <c r="D70" s="85"/>
    </row>
    <row r="71" spans="2:5" x14ac:dyDescent="0.45">
      <c r="B71" s="23" t="s">
        <v>939</v>
      </c>
      <c r="C71" s="87">
        <f>D53*((1+C70)^C65)</f>
        <v>12249.292013183129</v>
      </c>
      <c r="D71" s="85"/>
    </row>
    <row r="72" spans="2:5" x14ac:dyDescent="0.45">
      <c r="B72" s="23" t="s">
        <v>941</v>
      </c>
      <c r="C72" s="87">
        <f>J59*((1+C70)^C65)</f>
        <v>49402.693204191157</v>
      </c>
      <c r="D72" s="85"/>
    </row>
    <row r="73" spans="2:5" x14ac:dyDescent="0.45">
      <c r="B73" s="23" t="s">
        <v>863</v>
      </c>
      <c r="C73" s="87">
        <f>D54*((1+C70)^C65)</f>
        <v>122.49292013183128</v>
      </c>
      <c r="D73" s="98"/>
      <c r="E73" s="98"/>
    </row>
    <row r="74" spans="2:5" x14ac:dyDescent="0.45">
      <c r="B74" s="23" t="s">
        <v>864</v>
      </c>
      <c r="C74" s="178">
        <f>J60*((1+C70)^C65)</f>
        <v>494.02693204191161</v>
      </c>
      <c r="D74" s="85"/>
    </row>
    <row r="75" spans="2:5" x14ac:dyDescent="0.45">
      <c r="B75" s="23"/>
      <c r="C75" s="178"/>
      <c r="D75" s="85"/>
    </row>
    <row r="76" spans="2:5" x14ac:dyDescent="0.45">
      <c r="B76" s="1" t="s">
        <v>859</v>
      </c>
    </row>
    <row r="77" spans="2:5" x14ac:dyDescent="0.45">
      <c r="B77" s="270" t="s">
        <v>852</v>
      </c>
      <c r="C77" s="271"/>
      <c r="D77" s="271"/>
      <c r="E77" s="271"/>
    </row>
    <row r="78" spans="2:5" x14ac:dyDescent="0.45">
      <c r="B78" s="23" t="s">
        <v>862</v>
      </c>
      <c r="C78" s="144">
        <f>C70</f>
        <v>9.2473181116377923E-2</v>
      </c>
      <c r="D78" s="85"/>
    </row>
    <row r="79" spans="2:5" x14ac:dyDescent="0.45">
      <c r="B79" s="23" t="s">
        <v>880</v>
      </c>
      <c r="C79" s="87">
        <f>C73*((1+C78)^C66)</f>
        <v>174.48340407088372</v>
      </c>
      <c r="D79" s="98"/>
      <c r="E79" s="98"/>
    </row>
    <row r="80" spans="2:5" x14ac:dyDescent="0.45">
      <c r="B80" s="23" t="s">
        <v>881</v>
      </c>
      <c r="C80" s="178">
        <f>C74*((1+C78)^C66)</f>
        <v>703.71006514169858</v>
      </c>
      <c r="D80" s="85"/>
    </row>
    <row r="81" spans="2:5" x14ac:dyDescent="0.45">
      <c r="B81" s="23"/>
      <c r="C81" s="178"/>
      <c r="D81" s="85"/>
    </row>
    <row r="82" spans="2:5" x14ac:dyDescent="0.45">
      <c r="B82" s="1" t="s">
        <v>860</v>
      </c>
    </row>
    <row r="83" spans="2:5" x14ac:dyDescent="0.45">
      <c r="B83" s="270"/>
      <c r="C83" s="271"/>
      <c r="D83" s="271"/>
      <c r="E83" s="271"/>
    </row>
    <row r="84" spans="2:5" x14ac:dyDescent="0.45">
      <c r="B84" s="23" t="s">
        <v>866</v>
      </c>
      <c r="C84" s="144">
        <f>C70+C32</f>
        <v>0.10396812299384875</v>
      </c>
      <c r="D84" s="85"/>
    </row>
    <row r="85" spans="2:5" x14ac:dyDescent="0.45">
      <c r="B85" s="23" t="s">
        <v>938</v>
      </c>
      <c r="C85" s="248">
        <f>C71*((1+C84)^C66)</f>
        <v>18194.37415311459</v>
      </c>
      <c r="D85" s="85"/>
    </row>
    <row r="86" spans="2:5" x14ac:dyDescent="0.45">
      <c r="B86" s="23" t="s">
        <v>940</v>
      </c>
      <c r="C86" s="248">
        <f>C72*((1+C84)^C66)</f>
        <v>73379.839696956318</v>
      </c>
      <c r="D86" s="85"/>
    </row>
    <row r="87" spans="2:5" ht="17" customHeight="1" x14ac:dyDescent="0.45">
      <c r="B87" s="23" t="s">
        <v>880</v>
      </c>
      <c r="C87" s="11">
        <f>C85*C34</f>
        <v>2183.3248983737508</v>
      </c>
      <c r="D87" s="98"/>
      <c r="E87" s="98"/>
    </row>
    <row r="88" spans="2:5" ht="17" customHeight="1" x14ac:dyDescent="0.45">
      <c r="B88" s="23" t="s">
        <v>881</v>
      </c>
      <c r="C88" s="187">
        <f>C86*C34</f>
        <v>8805.5807636347581</v>
      </c>
      <c r="D88" s="85"/>
    </row>
    <row r="89" spans="2:5" ht="17" customHeight="1" x14ac:dyDescent="0.45"/>
    <row r="90" spans="2:5" ht="17" customHeight="1" x14ac:dyDescent="0.45">
      <c r="B90" s="274" t="s">
        <v>849</v>
      </c>
      <c r="C90" s="274" t="str">
        <f>C36</f>
        <v>produto disruptivo</v>
      </c>
    </row>
    <row r="91" spans="2:5" ht="17" customHeight="1" x14ac:dyDescent="0.45"/>
    <row r="92" spans="2:5" x14ac:dyDescent="0.45">
      <c r="B92" s="1" t="s">
        <v>861</v>
      </c>
    </row>
    <row r="93" spans="2:5" x14ac:dyDescent="0.45">
      <c r="B93" s="270"/>
      <c r="C93" s="271"/>
      <c r="D93" s="271"/>
      <c r="E93" s="271"/>
    </row>
    <row r="94" spans="2:5" x14ac:dyDescent="0.45">
      <c r="B94" s="23" t="s">
        <v>866</v>
      </c>
      <c r="C94" s="144">
        <f>C70+C33</f>
        <v>0.1383176139765685</v>
      </c>
      <c r="D94" s="85"/>
    </row>
    <row r="95" spans="2:5" x14ac:dyDescent="0.45">
      <c r="B95" s="23" t="s">
        <v>938</v>
      </c>
      <c r="C95" s="248">
        <f>C71*((1+C94)^C66)</f>
        <v>20566.709422334498</v>
      </c>
      <c r="D95" s="85"/>
    </row>
    <row r="96" spans="2:5" x14ac:dyDescent="0.45">
      <c r="B96" s="23" t="s">
        <v>940</v>
      </c>
      <c r="C96" s="248">
        <f>C72*((1+C94)^C66)</f>
        <v>82947.719322702746</v>
      </c>
      <c r="D96" s="85"/>
    </row>
    <row r="97" spans="2:5" ht="17" customHeight="1" x14ac:dyDescent="0.45">
      <c r="B97" s="23" t="s">
        <v>880</v>
      </c>
      <c r="C97" s="11">
        <f>C95*$C$34</f>
        <v>2468.0051306801397</v>
      </c>
      <c r="D97" s="98"/>
      <c r="E97" s="98"/>
    </row>
    <row r="98" spans="2:5" ht="17" customHeight="1" x14ac:dyDescent="0.45">
      <c r="B98" s="23" t="s">
        <v>881</v>
      </c>
      <c r="C98" s="187">
        <f>C96*$C$34</f>
        <v>9953.7263187243298</v>
      </c>
      <c r="D98" s="85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2C9E-2B97-42D4-AE0E-4917217F6B93}">
  <dimension ref="A1:N97"/>
  <sheetViews>
    <sheetView showGridLines="0" zoomScale="76" zoomScaleNormal="115" workbookViewId="0"/>
  </sheetViews>
  <sheetFormatPr defaultColWidth="8.86328125"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7" width="18.6640625" customWidth="1"/>
    <col min="8" max="8" width="16" customWidth="1"/>
    <col min="9" max="9" width="14.6640625" customWidth="1"/>
    <col min="10" max="10" width="13.6640625" bestFit="1" customWidth="1"/>
    <col min="11" max="12" width="16.53125" customWidth="1"/>
    <col min="13" max="13" width="15.1328125" customWidth="1"/>
    <col min="14" max="14" width="14.53125" customWidth="1"/>
  </cols>
  <sheetData>
    <row r="1" spans="1:14" s="69" customFormat="1" ht="22.25" customHeight="1" thickBot="1" x14ac:dyDescent="0.6">
      <c r="A1" s="70" t="s">
        <v>831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C69</f>
        <v>4.8953014106469128E-2</v>
      </c>
      <c r="F5" s="122"/>
      <c r="G5" s="122"/>
      <c r="H5" s="315" t="s">
        <v>908</v>
      </c>
      <c r="I5" s="323" t="str">
        <f>Output_Etapa1!$B$8</f>
        <v>Metais básicos</v>
      </c>
      <c r="J5" s="324">
        <f>E5+INDEX(Output_Etapa1!$B$5:$R$14,MATCH(I5,Output_Etapa1!$B$5:$B$14,0),MATCH(H5,Output_Etapa1!$B$5:$R$5,0))</f>
        <v>5.6395041766783782E-2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C72</f>
        <v>1040.2299280922905</v>
      </c>
      <c r="F6" s="122"/>
      <c r="G6" s="122"/>
      <c r="H6" s="321" t="s">
        <v>897</v>
      </c>
      <c r="I6" s="321"/>
      <c r="J6" s="284">
        <f>$C$70*((1+J5)^4)*$C$33</f>
        <v>2369.7827443893689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C73</f>
        <v>4155.5875307253436</v>
      </c>
      <c r="F7" s="122"/>
      <c r="G7" s="122"/>
      <c r="H7" s="322" t="s">
        <v>874</v>
      </c>
      <c r="I7" s="322"/>
      <c r="J7" s="284">
        <f>$C$71*((1+J5)^4)*$C$33</f>
        <v>9466.983555426832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4">
        <f>$C$70*((1+J5)^7)*$C$33</f>
        <v>2793.7503527517924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C77</f>
        <v>4.8953014106469128E-2</v>
      </c>
      <c r="F9" s="122"/>
      <c r="G9" s="122"/>
      <c r="H9" s="322" t="s">
        <v>904</v>
      </c>
      <c r="I9" s="322"/>
      <c r="J9" s="284">
        <f>$C$71*((1+J5)^7)*$C$33</f>
        <v>11160.680745982974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C78</f>
        <v>1259.370411349506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C79</f>
        <v>5031.0261574248207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1453.5219383996671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5806.6370517975429</v>
      </c>
      <c r="F13" s="122"/>
      <c r="G13" s="122"/>
      <c r="H13" s="315" t="s">
        <v>909</v>
      </c>
      <c r="I13" s="323" t="str">
        <f>Output_Etapa1!$B$8</f>
        <v>Metais básicos</v>
      </c>
      <c r="J13" s="324">
        <f>E5+INDEX(Output_Etapa1!$B$5:$R$14,MATCH(I13,Output_Etapa1!$B$5:$B$14,0),MATCH(H13,Output_Etapa1!$B$5:$R$5,0))</f>
        <v>0.2076031921213719</v>
      </c>
      <c r="K13" s="122"/>
      <c r="L13" s="315" t="s">
        <v>997</v>
      </c>
      <c r="M13" s="323" t="str">
        <f>Output_Etapa1!$B$8</f>
        <v>Metais básicos</v>
      </c>
      <c r="N13" s="324">
        <f>INDEX(Output_Etapa1!$B$5:$R$14,MATCH(M13,Output_Etapa1!$B$5:$B$14,0),MATCH(L13,Output_Etapa1!$B$5:$R$5,0))</f>
        <v>3.9943307061982347E-2</v>
      </c>
    </row>
    <row r="14" spans="1:14" x14ac:dyDescent="0.45">
      <c r="F14" s="122"/>
      <c r="G14" s="122"/>
      <c r="H14" s="321" t="s">
        <v>897</v>
      </c>
      <c r="I14" s="321"/>
      <c r="J14" s="284">
        <f>$C$70*((1+J13)^4)*$C$33</f>
        <v>4046.6917647025416</v>
      </c>
      <c r="K14" s="122"/>
      <c r="L14" s="321" t="s">
        <v>897</v>
      </c>
      <c r="M14" s="321"/>
      <c r="N14" s="284">
        <f>E6*((1+$N$13)^4)</f>
        <v>1216.6565579163566</v>
      </c>
    </row>
    <row r="15" spans="1:14" x14ac:dyDescent="0.45">
      <c r="B15" s="168" t="s">
        <v>747</v>
      </c>
      <c r="C15" s="168"/>
      <c r="D15" s="6" t="s">
        <v>39</v>
      </c>
      <c r="E15" s="169">
        <f>C83</f>
        <v>6.0447955983939948E-2</v>
      </c>
      <c r="F15" s="122"/>
      <c r="G15" s="122"/>
      <c r="H15" s="322" t="s">
        <v>874</v>
      </c>
      <c r="I15" s="322"/>
      <c r="J15" s="284">
        <f>$C$71*((1+J13)^4)*$C$33</f>
        <v>16166.023860635214</v>
      </c>
      <c r="K15" s="122"/>
      <c r="L15" s="322" t="s">
        <v>874</v>
      </c>
      <c r="M15" s="322"/>
      <c r="N15" s="284">
        <f>E7*((1+$N$13)^4)</f>
        <v>4860.389693386961</v>
      </c>
    </row>
    <row r="16" spans="1:14" x14ac:dyDescent="0.45">
      <c r="B16" s="21" t="s">
        <v>232</v>
      </c>
      <c r="C16" s="21"/>
      <c r="D16" s="97"/>
      <c r="E16" s="284">
        <f>C86</f>
        <v>2406.3597433051305</v>
      </c>
      <c r="F16" s="122"/>
      <c r="G16" s="122"/>
      <c r="H16" s="322" t="s">
        <v>903</v>
      </c>
      <c r="I16" s="322"/>
      <c r="J16" s="284">
        <f>$C$70*((1+J13)^7)*$C$33</f>
        <v>7126.4440956941753</v>
      </c>
      <c r="K16" s="122"/>
      <c r="L16" s="322" t="s">
        <v>903</v>
      </c>
      <c r="M16" s="322"/>
      <c r="N16" s="283">
        <f>E6*((1+$N$13)^7)</f>
        <v>1368.3493617755385</v>
      </c>
    </row>
    <row r="17" spans="1:14" x14ac:dyDescent="0.45">
      <c r="B17" s="21" t="s">
        <v>874</v>
      </c>
      <c r="C17" s="21"/>
      <c r="D17" s="21"/>
      <c r="E17" s="284">
        <f>C87</f>
        <v>9613.1040586933032</v>
      </c>
      <c r="F17" s="122"/>
      <c r="G17" s="122"/>
      <c r="H17" s="322" t="s">
        <v>904</v>
      </c>
      <c r="I17" s="322"/>
      <c r="J17" s="284">
        <f>$C$71*((1+J13)^7)*$C$33</f>
        <v>28469.246483601008</v>
      </c>
      <c r="K17" s="122"/>
      <c r="L17" s="322" t="s">
        <v>904</v>
      </c>
      <c r="M17" s="322"/>
      <c r="N17" s="283">
        <f>E7*((1+$N$13)^7)</f>
        <v>5466.3833369019494</v>
      </c>
    </row>
    <row r="18" spans="1:14" x14ac:dyDescent="0.45">
      <c r="B18" s="21" t="s">
        <v>903</v>
      </c>
      <c r="C18" s="21"/>
      <c r="D18" s="21"/>
      <c r="E18" s="283">
        <f>$E$16*((1+$E$15)^3)</f>
        <v>2869.6480228741825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$E$17*((1+$E$15)^3)</f>
        <v>11463.882377712731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C93</f>
        <v>9.4797446966659718E-2</v>
      </c>
      <c r="F21" s="122"/>
      <c r="G21" s="122"/>
      <c r="H21" s="315" t="s">
        <v>910</v>
      </c>
      <c r="I21" s="323" t="str">
        <f>Output_Etapa1!$B$8</f>
        <v>Metais básicos</v>
      </c>
      <c r="J21" s="324">
        <f>E5+INDEX(Output_Etapa1!$B$5:$R$14,MATCH(I21,Output_Etapa1!$B$5:$B$14,0),MATCH(H21,Output_Etapa1!$B$5:$R$5,0))</f>
        <v>3.0958155939366572E-2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C96</f>
        <v>2733.6204838209651</v>
      </c>
      <c r="F22" s="122"/>
      <c r="G22" s="122"/>
      <c r="H22" s="321" t="s">
        <v>897</v>
      </c>
      <c r="I22" s="321"/>
      <c r="J22" s="284">
        <f>$C$70*((1+J21)^4)*$C$33</f>
        <v>2149.6476038518285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C97</f>
        <v>10920.469493830917</v>
      </c>
      <c r="F23" s="122"/>
      <c r="G23" s="122"/>
      <c r="H23" s="322" t="s">
        <v>874</v>
      </c>
      <c r="I23" s="322"/>
      <c r="J23" s="284">
        <f>$C$71*((1+J21)^4)*$C$33</f>
        <v>8587.5713981839235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$E$22*((1+$E$21)^3)</f>
        <v>3587.0674909217241</v>
      </c>
      <c r="F24" s="122"/>
      <c r="G24" s="122"/>
      <c r="H24" s="322" t="s">
        <v>903</v>
      </c>
      <c r="I24" s="322"/>
      <c r="J24" s="284">
        <f>$C$70*((1+J21)^7)*$C$33</f>
        <v>2355.5394768682363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$E$23*((1+$E$21)^3)</f>
        <v>14329.882783205267</v>
      </c>
      <c r="F25" s="122"/>
      <c r="G25" s="122"/>
      <c r="H25" s="322" t="s">
        <v>904</v>
      </c>
      <c r="I25" s="322"/>
      <c r="J25" s="284">
        <f>$C$71*((1+J21)^7)*$C$33</f>
        <v>9410.0834958254363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  <c r="G30" s="246" t="s">
        <v>822</v>
      </c>
      <c r="H30" s="247">
        <v>2021</v>
      </c>
      <c r="I30" s="247">
        <v>2030</v>
      </c>
    </row>
    <row r="31" spans="1:14" x14ac:dyDescent="0.45">
      <c r="A31" s="24"/>
      <c r="B31" s="116" t="s">
        <v>205</v>
      </c>
      <c r="C31" s="18">
        <f>Aux!A6</f>
        <v>1.1431566969667646</v>
      </c>
      <c r="G31" s="246" t="s">
        <v>826</v>
      </c>
      <c r="H31">
        <v>94</v>
      </c>
      <c r="I31">
        <v>118</v>
      </c>
    </row>
    <row r="32" spans="1:14" ht="15" customHeight="1" x14ac:dyDescent="0.45">
      <c r="A32" s="24"/>
      <c r="B32" s="117" t="s">
        <v>976</v>
      </c>
      <c r="C32" s="115">
        <f>H33</f>
        <v>0.28723404255319152</v>
      </c>
      <c r="F32" s="86"/>
      <c r="G32" s="246" t="s">
        <v>827</v>
      </c>
      <c r="H32" s="109">
        <v>27</v>
      </c>
      <c r="I32">
        <v>62</v>
      </c>
    </row>
    <row r="33" spans="1:13" ht="18.600000000000001" customHeight="1" x14ac:dyDescent="0.45">
      <c r="A33" s="24"/>
      <c r="B33" s="117" t="s">
        <v>973</v>
      </c>
      <c r="C33" s="115">
        <f>I33</f>
        <v>0.52542372881355937</v>
      </c>
      <c r="F33" s="86"/>
      <c r="G33" s="246" t="s">
        <v>823</v>
      </c>
      <c r="H33" s="14">
        <f>H32/H31</f>
        <v>0.28723404255319152</v>
      </c>
      <c r="I33" s="14">
        <f>I32/I31</f>
        <v>0.52542372881355937</v>
      </c>
    </row>
    <row r="34" spans="1:13" x14ac:dyDescent="0.45">
      <c r="A34" s="24"/>
      <c r="B34" s="116" t="s">
        <v>758</v>
      </c>
      <c r="C34" s="161">
        <f>'Cenario B benchmark va'!C7</f>
        <v>1.149494187747082E-2</v>
      </c>
    </row>
    <row r="35" spans="1:13" x14ac:dyDescent="0.45">
      <c r="A35" s="24"/>
      <c r="B35" s="116" t="s">
        <v>744</v>
      </c>
      <c r="C35" s="161">
        <f>'Cenario B benchmark va'!D7</f>
        <v>4.584443286019059E-2</v>
      </c>
    </row>
    <row r="36" spans="1:13" x14ac:dyDescent="0.45">
      <c r="A36" s="24"/>
      <c r="B36" s="116" t="s">
        <v>745</v>
      </c>
      <c r="C36" s="164" t="str">
        <f>IF(D53&lt;3%,"produto disruptivo", "produto representativo")</f>
        <v>produto representativo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45">
      <c r="A49" s="24"/>
      <c r="B49" s="215" t="s">
        <v>543</v>
      </c>
      <c r="C49" s="107">
        <f>VLOOKUP($B49,'Dados IBGE - VA'!$A$4:$G$423,2,FALSE)</f>
        <v>6855944</v>
      </c>
      <c r="D49" s="107">
        <f>VLOOKUP($B49,'Dados IBGE - VA'!$A$4:$G$423,3,FALSE)</f>
        <v>7108198</v>
      </c>
      <c r="E49" s="107">
        <f>VLOOKUP($B49,'Dados IBGE - VA'!$A$4:$G$423,4,FALSE)</f>
        <v>8677141</v>
      </c>
      <c r="F49" s="107">
        <f>VLOOKUP($B49,'Dados IBGE - VA'!$A$4:$G$423,5,FALSE)</f>
        <v>8385333</v>
      </c>
      <c r="G49" s="107">
        <f>VLOOKUP($B49,'Dados IBGE - VA'!$A$4:$G$423,6,FALSE)</f>
        <v>9033875</v>
      </c>
      <c r="H49" s="107">
        <f>VLOOKUP($B49,'Dados IBGE - VA'!$A$4:$G$423,7,FALSE)</f>
        <v>15009273</v>
      </c>
      <c r="I49" s="83">
        <f>C49*$C$28</f>
        <v>9339615.1267680172</v>
      </c>
      <c r="K49" s="24"/>
      <c r="L49" s="24"/>
    </row>
    <row r="50" spans="1:13" x14ac:dyDescent="0.45">
      <c r="A50" s="24"/>
      <c r="C50" s="14"/>
      <c r="D50" s="14"/>
      <c r="E50" s="14"/>
      <c r="F50" s="14"/>
      <c r="G50" s="14"/>
      <c r="H50" s="24"/>
      <c r="I50" s="24"/>
      <c r="K50" s="24"/>
      <c r="L50" s="24"/>
    </row>
    <row r="51" spans="1:13" x14ac:dyDescent="0.45">
      <c r="A51" s="24"/>
      <c r="B51" s="75" t="s">
        <v>184</v>
      </c>
      <c r="C51" s="24"/>
      <c r="D51" s="24"/>
      <c r="E51" s="24"/>
      <c r="F51" s="24"/>
      <c r="G51" s="90"/>
      <c r="H51" s="24"/>
      <c r="I51" s="24"/>
      <c r="K51" s="24"/>
      <c r="L51" s="24"/>
    </row>
    <row r="52" spans="1:13" x14ac:dyDescent="0.45">
      <c r="A52" s="24"/>
      <c r="B52" s="170" t="s">
        <v>44</v>
      </c>
      <c r="C52" s="171" t="s">
        <v>43</v>
      </c>
      <c r="D52" s="171">
        <v>2021</v>
      </c>
      <c r="E52" s="171" t="s">
        <v>48</v>
      </c>
      <c r="F52" s="171" t="s">
        <v>39</v>
      </c>
      <c r="G52" s="90"/>
      <c r="I52" s="90"/>
      <c r="J52" s="24"/>
      <c r="K52" s="24"/>
    </row>
    <row r="53" spans="1:13" x14ac:dyDescent="0.45">
      <c r="A53" s="24"/>
      <c r="B53" s="22" t="s">
        <v>828</v>
      </c>
      <c r="C53" s="84">
        <f>C49*$C$31*$C$30/1000</f>
        <v>2245.6035273784851</v>
      </c>
      <c r="D53" s="84">
        <f>(H49*$C$29/1000)</f>
        <v>2851.7618700000003</v>
      </c>
      <c r="E53" s="94">
        <f>D53-C53</f>
        <v>606.1583426215152</v>
      </c>
      <c r="F53" s="95">
        <f>(D53/C53)^(1/5)-1</f>
        <v>4.8953014106469128E-2</v>
      </c>
      <c r="G53" s="90"/>
      <c r="H53" s="90"/>
      <c r="I53" s="90"/>
      <c r="J53" s="14"/>
      <c r="M53" s="14"/>
    </row>
    <row r="54" spans="1:13" x14ac:dyDescent="0.45">
      <c r="A54" s="24"/>
      <c r="B54" s="23" t="s">
        <v>829</v>
      </c>
      <c r="C54" s="87"/>
      <c r="D54" s="87">
        <f>D55*D53</f>
        <v>819.12309031914913</v>
      </c>
      <c r="E54" s="248"/>
      <c r="F54" s="95"/>
      <c r="G54" s="90"/>
      <c r="H54" s="90"/>
      <c r="I54" s="90"/>
      <c r="J54" s="14"/>
      <c r="M54" s="14"/>
    </row>
    <row r="55" spans="1:13" x14ac:dyDescent="0.45">
      <c r="A55" s="24"/>
      <c r="D55" s="131">
        <f>C32</f>
        <v>0.28723404255319152</v>
      </c>
      <c r="E55" s="14"/>
      <c r="F55" s="14"/>
      <c r="G55" s="14"/>
      <c r="H55" s="14"/>
      <c r="I55" s="14"/>
      <c r="J55" s="14"/>
      <c r="M55" s="14"/>
    </row>
    <row r="56" spans="1:13" x14ac:dyDescent="0.45">
      <c r="A56" s="24" t="s">
        <v>50</v>
      </c>
      <c r="B56" s="74" t="s">
        <v>786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45">
      <c r="A57" s="24"/>
      <c r="B57" s="75" t="s">
        <v>783</v>
      </c>
      <c r="C57" s="127"/>
      <c r="D57" s="127"/>
      <c r="E57" s="127"/>
      <c r="F57" s="127"/>
      <c r="G57" s="127"/>
      <c r="H57" s="127"/>
      <c r="I57" s="124"/>
      <c r="J57" s="24"/>
      <c r="K57" s="24"/>
    </row>
    <row r="58" spans="1:13" x14ac:dyDescent="0.45">
      <c r="A58" s="24"/>
      <c r="B58" s="20" t="s">
        <v>44</v>
      </c>
      <c r="C58" s="25">
        <v>2016</v>
      </c>
      <c r="D58" s="25">
        <v>2017</v>
      </c>
      <c r="E58" s="25">
        <v>2018</v>
      </c>
      <c r="F58" s="25">
        <v>2019</v>
      </c>
      <c r="G58" s="25">
        <v>2020</v>
      </c>
      <c r="H58" s="25">
        <v>2021</v>
      </c>
      <c r="J58" s="183" t="s">
        <v>782</v>
      </c>
      <c r="K58" s="24"/>
    </row>
    <row r="59" spans="1:13" x14ac:dyDescent="0.45">
      <c r="A59" s="24"/>
      <c r="B59" s="215" t="s">
        <v>543</v>
      </c>
      <c r="C59" s="78">
        <f>VLOOKUP($B59,'Dados IBGE - VPB'!$A$4:$G$423,2,FALSE)</f>
        <v>28486266</v>
      </c>
      <c r="D59" s="78">
        <f>VLOOKUP($B59,'Dados IBGE - VPB'!$A$4:$G$423,3,FALSE)</f>
        <v>32563173</v>
      </c>
      <c r="E59" s="78">
        <f>VLOOKUP($B59,'Dados IBGE - VPB'!$A$4:$G$423,4,FALSE)</f>
        <v>37779285</v>
      </c>
      <c r="F59" s="78">
        <f>VLOOKUP($B59,'Dados IBGE - VPB'!$A$4:$G$423,5,FALSE)</f>
        <v>37608258</v>
      </c>
      <c r="G59" s="78">
        <f>VLOOKUP($B59,'Dados IBGE - VPB'!$A$4:$G$423,6,FALSE)</f>
        <v>40310981</v>
      </c>
      <c r="H59" s="78">
        <f>VLOOKUP($B59,'Dados IBGE - VPB'!$A$4:$G$423,7,FALSE)</f>
        <v>59960155</v>
      </c>
      <c r="J59" s="187">
        <f t="shared" ref="J59" si="0">H59*$C$29/1000</f>
        <v>11392.42945</v>
      </c>
      <c r="K59" s="24"/>
    </row>
    <row r="60" spans="1:13" x14ac:dyDescent="0.45">
      <c r="A60" s="24"/>
      <c r="B60" s="109"/>
      <c r="C60" s="130"/>
      <c r="D60" s="130"/>
      <c r="E60" s="130"/>
      <c r="F60" s="130"/>
      <c r="G60" s="130"/>
      <c r="H60" s="130"/>
      <c r="I60" s="11" t="s">
        <v>830</v>
      </c>
      <c r="J60" s="182">
        <f>D54*J59/D53</f>
        <v>3272.2935654255321</v>
      </c>
      <c r="K60" s="24"/>
    </row>
    <row r="61" spans="1:13" x14ac:dyDescent="0.45">
      <c r="A61" s="24" t="s">
        <v>784</v>
      </c>
      <c r="B61" s="21" t="s">
        <v>877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x14ac:dyDescent="0.45">
      <c r="B62" s="73" t="s">
        <v>229</v>
      </c>
    </row>
    <row r="63" spans="1:13" x14ac:dyDescent="0.45">
      <c r="B63" s="73"/>
    </row>
    <row r="64" spans="1:13" x14ac:dyDescent="0.45">
      <c r="B64" t="s">
        <v>817</v>
      </c>
      <c r="C64">
        <f>2026-2021</f>
        <v>5</v>
      </c>
    </row>
    <row r="65" spans="2:5" x14ac:dyDescent="0.45">
      <c r="B65" t="s">
        <v>818</v>
      </c>
      <c r="C65">
        <f>2030-2026</f>
        <v>4</v>
      </c>
    </row>
    <row r="66" spans="2:5" x14ac:dyDescent="0.45">
      <c r="B66" s="73"/>
    </row>
    <row r="67" spans="2:5" x14ac:dyDescent="0.45">
      <c r="B67" s="1" t="s">
        <v>858</v>
      </c>
    </row>
    <row r="68" spans="2:5" x14ac:dyDescent="0.45">
      <c r="B68" s="270"/>
      <c r="C68" s="271"/>
      <c r="D68" s="271"/>
      <c r="E68" s="271"/>
    </row>
    <row r="69" spans="2:5" x14ac:dyDescent="0.45">
      <c r="B69" s="23" t="s">
        <v>862</v>
      </c>
      <c r="C69" s="144">
        <f>F53</f>
        <v>4.8953014106469128E-2</v>
      </c>
      <c r="D69" s="85"/>
    </row>
    <row r="70" spans="2:5" x14ac:dyDescent="0.45">
      <c r="B70" s="23" t="s">
        <v>974</v>
      </c>
      <c r="C70" s="87">
        <f>D53*((1+C69)^C64)</f>
        <v>3621.5412311361215</v>
      </c>
      <c r="D70" s="85"/>
    </row>
    <row r="71" spans="2:5" x14ac:dyDescent="0.45">
      <c r="B71" s="23" t="s">
        <v>975</v>
      </c>
      <c r="C71" s="87">
        <f>J59*((1+C69)^C64)</f>
        <v>14467.60103289564</v>
      </c>
      <c r="D71" s="85"/>
    </row>
    <row r="72" spans="2:5" x14ac:dyDescent="0.45">
      <c r="B72" s="23" t="s">
        <v>863</v>
      </c>
      <c r="C72" s="87">
        <f>D54*((1+C69)^C64)</f>
        <v>1040.2299280922905</v>
      </c>
      <c r="D72" s="98"/>
      <c r="E72" s="98"/>
    </row>
    <row r="73" spans="2:5" x14ac:dyDescent="0.45">
      <c r="B73" s="23" t="s">
        <v>864</v>
      </c>
      <c r="C73" s="178">
        <f>J60*((1+C69)^C64)</f>
        <v>4155.5875307253436</v>
      </c>
      <c r="D73" s="85"/>
    </row>
    <row r="74" spans="2:5" x14ac:dyDescent="0.45">
      <c r="B74" s="23"/>
      <c r="C74" s="178"/>
      <c r="D74" s="85"/>
    </row>
    <row r="75" spans="2:5" x14ac:dyDescent="0.45">
      <c r="B75" s="1" t="s">
        <v>859</v>
      </c>
    </row>
    <row r="76" spans="2:5" x14ac:dyDescent="0.45">
      <c r="B76" s="270"/>
      <c r="C76" s="271"/>
      <c r="D76" s="271"/>
      <c r="E76" s="271"/>
    </row>
    <row r="77" spans="2:5" x14ac:dyDescent="0.45">
      <c r="B77" s="23" t="s">
        <v>862</v>
      </c>
      <c r="C77" s="144">
        <f>C69</f>
        <v>4.8953014106469128E-2</v>
      </c>
      <c r="D77" s="85"/>
    </row>
    <row r="78" spans="2:5" x14ac:dyDescent="0.45">
      <c r="B78" s="23" t="s">
        <v>880</v>
      </c>
      <c r="C78" s="87">
        <f>C72*((1+C77)^C65)</f>
        <v>1259.370411349506</v>
      </c>
      <c r="D78" s="98"/>
      <c r="E78" s="98"/>
    </row>
    <row r="79" spans="2:5" x14ac:dyDescent="0.45">
      <c r="B79" s="23" t="s">
        <v>881</v>
      </c>
      <c r="C79" s="178">
        <f>C73*((1+C77)^C65)</f>
        <v>5031.0261574248207</v>
      </c>
      <c r="D79" s="85"/>
    </row>
    <row r="80" spans="2:5" x14ac:dyDescent="0.45">
      <c r="B80" s="23"/>
      <c r="C80" s="178"/>
      <c r="D80" s="85"/>
    </row>
    <row r="81" spans="2:5" x14ac:dyDescent="0.45">
      <c r="B81" s="1" t="s">
        <v>860</v>
      </c>
    </row>
    <row r="82" spans="2:5" x14ac:dyDescent="0.45">
      <c r="B82" s="270"/>
      <c r="C82" s="271"/>
      <c r="D82" s="271"/>
      <c r="E82" s="271"/>
    </row>
    <row r="83" spans="2:5" x14ac:dyDescent="0.45">
      <c r="B83" s="23" t="s">
        <v>866</v>
      </c>
      <c r="C83" s="144">
        <f>C69+C34</f>
        <v>6.0447955983939948E-2</v>
      </c>
      <c r="D83" s="85"/>
    </row>
    <row r="84" spans="2:5" x14ac:dyDescent="0.45">
      <c r="B84" s="23" t="s">
        <v>977</v>
      </c>
      <c r="C84" s="248">
        <f>C70*((1+C83)^C65)</f>
        <v>4579.845963064603</v>
      </c>
      <c r="D84" s="85"/>
    </row>
    <row r="85" spans="2:5" x14ac:dyDescent="0.45">
      <c r="B85" s="23" t="s">
        <v>978</v>
      </c>
      <c r="C85" s="248">
        <f>C71*((1+C83)^C65)</f>
        <v>18295.907724609835</v>
      </c>
      <c r="D85" s="85"/>
    </row>
    <row r="86" spans="2:5" ht="17" customHeight="1" x14ac:dyDescent="0.45">
      <c r="B86" s="23" t="s">
        <v>880</v>
      </c>
      <c r="C86" s="11">
        <f>C84*C33</f>
        <v>2406.3597433051305</v>
      </c>
      <c r="D86" s="98"/>
      <c r="E86" s="98"/>
    </row>
    <row r="87" spans="2:5" ht="17" customHeight="1" x14ac:dyDescent="0.45">
      <c r="B87" s="23" t="s">
        <v>881</v>
      </c>
      <c r="C87" s="187">
        <f>C85*C33</f>
        <v>9613.1040586933032</v>
      </c>
      <c r="D87" s="85"/>
    </row>
    <row r="88" spans="2:5" ht="17" customHeight="1" x14ac:dyDescent="0.45"/>
    <row r="89" spans="2:5" ht="17" customHeight="1" x14ac:dyDescent="0.45">
      <c r="B89" s="274" t="s">
        <v>849</v>
      </c>
      <c r="C89" s="274" t="str">
        <f>C36</f>
        <v>produto representativo</v>
      </c>
    </row>
    <row r="90" spans="2:5" ht="17" customHeight="1" x14ac:dyDescent="0.45"/>
    <row r="91" spans="2:5" x14ac:dyDescent="0.45">
      <c r="B91" s="1" t="s">
        <v>861</v>
      </c>
    </row>
    <row r="92" spans="2:5" x14ac:dyDescent="0.45">
      <c r="B92" s="270"/>
      <c r="C92" s="271"/>
      <c r="D92" s="271"/>
      <c r="E92" s="271"/>
    </row>
    <row r="93" spans="2:5" x14ac:dyDescent="0.45">
      <c r="B93" s="23" t="s">
        <v>866</v>
      </c>
      <c r="C93" s="144">
        <f>C69+C35</f>
        <v>9.4797446966659718E-2</v>
      </c>
      <c r="D93" s="85"/>
    </row>
    <row r="94" spans="2:5" x14ac:dyDescent="0.45">
      <c r="B94" s="23" t="s">
        <v>938</v>
      </c>
      <c r="C94" s="248">
        <f>C70*((1+C93)^C65)</f>
        <v>5202.6970498528044</v>
      </c>
      <c r="D94" s="85"/>
    </row>
    <row r="95" spans="2:5" x14ac:dyDescent="0.45">
      <c r="B95" s="23" t="s">
        <v>940</v>
      </c>
      <c r="C95" s="248">
        <f>C71*((1+C93)^C65)</f>
        <v>20784.119359226581</v>
      </c>
      <c r="D95" s="85"/>
    </row>
    <row r="96" spans="2:5" ht="17" customHeight="1" x14ac:dyDescent="0.45">
      <c r="B96" s="23" t="s">
        <v>880</v>
      </c>
      <c r="C96" s="11">
        <f>C94*$C$33</f>
        <v>2733.6204838209651</v>
      </c>
      <c r="D96" s="98"/>
      <c r="E96" s="98"/>
    </row>
    <row r="97" spans="2:4" ht="17" customHeight="1" x14ac:dyDescent="0.45">
      <c r="B97" s="23" t="s">
        <v>881</v>
      </c>
      <c r="C97" s="187">
        <f>C95*$C$33</f>
        <v>10920.469493830917</v>
      </c>
      <c r="D97" s="8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DC8-F237-49A6-9D3D-A1801A16EF26}">
  <dimension ref="A1:N97"/>
  <sheetViews>
    <sheetView showGridLines="0" zoomScale="90" zoomScaleNormal="90" workbookViewId="0"/>
  </sheetViews>
  <sheetFormatPr defaultColWidth="8.86328125"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7" width="18.6640625" customWidth="1"/>
    <col min="8" max="8" width="16" customWidth="1"/>
    <col min="9" max="9" width="14.6640625" customWidth="1"/>
    <col min="10" max="10" width="13.6640625" bestFit="1" customWidth="1"/>
    <col min="11" max="12" width="16.53125" customWidth="1"/>
    <col min="13" max="13" width="15.1328125" customWidth="1"/>
    <col min="14" max="14" width="14.53125" customWidth="1"/>
  </cols>
  <sheetData>
    <row r="1" spans="1:14" s="69" customFormat="1" ht="22.25" customHeight="1" thickBot="1" x14ac:dyDescent="0.6">
      <c r="A1" s="70" t="s">
        <v>990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C69</f>
        <v>6.3665952835591622E-2</v>
      </c>
      <c r="F5" s="122"/>
      <c r="G5" s="122"/>
      <c r="H5" s="315" t="s">
        <v>908</v>
      </c>
      <c r="I5" s="323" t="str">
        <f>Output_Etapa1!$B$8</f>
        <v>Metais básicos</v>
      </c>
      <c r="J5" s="324">
        <f>E5+INDEX(Output_Etapa1!$B$5:$R$14,MATCH(I5,Output_Etapa1!$B$5:$B$14,0),MATCH(H5,Output_Etapa1!$B$5:$R$5,0))</f>
        <v>7.1107980495906276E-2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C72</f>
        <v>1951.9853231290624</v>
      </c>
      <c r="F6" s="122"/>
      <c r="G6" s="122"/>
      <c r="H6" s="321" t="s">
        <v>897</v>
      </c>
      <c r="I6" s="321"/>
      <c r="J6" s="284">
        <f>$C$70*((1+J5)^4)*$C$33</f>
        <v>2569.2689497904021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C73</f>
        <v>5935.0546214995802</v>
      </c>
      <c r="F7" s="122"/>
      <c r="G7" s="122"/>
      <c r="H7" s="322" t="s">
        <v>874</v>
      </c>
      <c r="I7" s="322"/>
      <c r="J7" s="284">
        <f>$C$71*((1+J5)^4)*$C$33</f>
        <v>7811.9191643741024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4">
        <f>$C$70*((1+J5)^7)*$C$33</f>
        <v>3157.2526302704432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C77</f>
        <v>6.3665952835591622E-2</v>
      </c>
      <c r="F9" s="122"/>
      <c r="G9" s="122"/>
      <c r="H9" s="322" t="s">
        <v>904</v>
      </c>
      <c r="I9" s="322"/>
      <c r="J9" s="284">
        <f>$C$71*((1+J5)^7)*$C$33</f>
        <v>9599.6965717397143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C78</f>
        <v>2498.6048576650974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C79</f>
        <v>7597.063426693624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3006.8610128554587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9142.4275270407634</v>
      </c>
      <c r="F13" s="122"/>
      <c r="G13" s="122"/>
      <c r="H13" s="315" t="s">
        <v>909</v>
      </c>
      <c r="I13" s="323" t="str">
        <f>Output_Etapa1!$B$8</f>
        <v>Metais básicos</v>
      </c>
      <c r="J13" s="324">
        <f>E5+INDEX(Output_Etapa1!$B$5:$R$14,MATCH(I13,Output_Etapa1!$B$5:$B$14,0),MATCH(H13,Output_Etapa1!$B$5:$R$5,0))</f>
        <v>0.2223161308504944</v>
      </c>
      <c r="K13" s="122"/>
      <c r="L13" s="315" t="s">
        <v>997</v>
      </c>
      <c r="M13" s="323" t="str">
        <f>Output_Etapa1!$B$8</f>
        <v>Metais básicos</v>
      </c>
      <c r="N13" s="324">
        <f>INDEX(Output_Etapa1!$B$5:$R$14,MATCH(M13,Output_Etapa1!$B$5:$B$14,0),MATCH(L13,Output_Etapa1!$B$5:$R$5,0))</f>
        <v>3.9943307061982347E-2</v>
      </c>
    </row>
    <row r="14" spans="1:14" x14ac:dyDescent="0.45">
      <c r="F14" s="122"/>
      <c r="G14" s="122"/>
      <c r="H14" s="321" t="s">
        <v>897</v>
      </c>
      <c r="I14" s="321"/>
      <c r="J14" s="284">
        <f>$C$70*((1+J13)^4)*$C$33</f>
        <v>4357.2323619977233</v>
      </c>
      <c r="K14" s="122"/>
      <c r="L14" s="321" t="s">
        <v>897</v>
      </c>
      <c r="M14" s="321"/>
      <c r="N14" s="284">
        <f>E6*((1+$N$13)^4)</f>
        <v>2283.0488531481169</v>
      </c>
    </row>
    <row r="15" spans="1:14" x14ac:dyDescent="0.45">
      <c r="B15" s="168" t="s">
        <v>747</v>
      </c>
      <c r="C15" s="168"/>
      <c r="D15" s="6" t="s">
        <v>39</v>
      </c>
      <c r="E15" s="169">
        <f>C83</f>
        <v>7.5160894713062448E-2</v>
      </c>
      <c r="F15" s="122"/>
      <c r="G15" s="122"/>
      <c r="H15" s="322" t="s">
        <v>874</v>
      </c>
      <c r="I15" s="322"/>
      <c r="J15" s="284">
        <f>$C$71*((1+J13)^4)*$C$33</f>
        <v>13248.261531786255</v>
      </c>
      <c r="K15" s="122"/>
      <c r="L15" s="322" t="s">
        <v>874</v>
      </c>
      <c r="M15" s="322"/>
      <c r="N15" s="284">
        <f>E7*((1+$N$13)^4)</f>
        <v>6941.6606192843501</v>
      </c>
    </row>
    <row r="16" spans="1:14" x14ac:dyDescent="0.45">
      <c r="B16" s="21" t="s">
        <v>232</v>
      </c>
      <c r="C16" s="21"/>
      <c r="D16" s="97"/>
      <c r="E16" s="284">
        <f>C86</f>
        <v>2608.3771558895251</v>
      </c>
      <c r="F16" s="122"/>
      <c r="G16" s="122"/>
      <c r="H16" s="322" t="s">
        <v>903</v>
      </c>
      <c r="I16" s="322"/>
      <c r="J16" s="284">
        <f>$C$70*((1+J13)^7)*$C$33</f>
        <v>7957.2197163150886</v>
      </c>
      <c r="K16" s="122"/>
      <c r="L16" s="322" t="s">
        <v>903</v>
      </c>
      <c r="M16" s="322"/>
      <c r="N16" s="283">
        <f>E6*((1+$N$13)^7)</f>
        <v>2567.6995046636425</v>
      </c>
    </row>
    <row r="17" spans="1:14" x14ac:dyDescent="0.45">
      <c r="B17" s="21" t="s">
        <v>874</v>
      </c>
      <c r="C17" s="21"/>
      <c r="D17" s="21"/>
      <c r="E17" s="284">
        <f>C87</f>
        <v>7930.8285314666191</v>
      </c>
      <c r="F17" s="122"/>
      <c r="G17" s="122"/>
      <c r="H17" s="322" t="s">
        <v>904</v>
      </c>
      <c r="I17" s="322"/>
      <c r="J17" s="284">
        <f>$C$71*((1+J13)^7)*$C$33</f>
        <v>24194.102840844411</v>
      </c>
      <c r="K17" s="122"/>
      <c r="L17" s="322" t="s">
        <v>904</v>
      </c>
      <c r="M17" s="322"/>
      <c r="N17" s="283">
        <f>E7*((1+$N$13)^7)</f>
        <v>7807.1472316949003</v>
      </c>
    </row>
    <row r="18" spans="1:14" x14ac:dyDescent="0.45">
      <c r="B18" s="21" t="s">
        <v>903</v>
      </c>
      <c r="C18" s="21"/>
      <c r="D18" s="21"/>
      <c r="E18" s="283">
        <f>$E$16*((1+$E$15)^3)</f>
        <v>3241.8339649814179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$E$17*((1+$E$15)^3)</f>
        <v>9856.8679938405057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C93</f>
        <v>0.10951038569578221</v>
      </c>
      <c r="F21" s="122"/>
      <c r="G21" s="122"/>
      <c r="H21" s="315" t="s">
        <v>910</v>
      </c>
      <c r="I21" s="323" t="str">
        <f>Output_Etapa1!$B$8</f>
        <v>Metais básicos</v>
      </c>
      <c r="J21" s="324">
        <f>E5+INDEX(Output_Etapa1!$B$5:$R$14,MATCH(I21,Output_Etapa1!$B$5:$B$14,0),MATCH(H21,Output_Etapa1!$B$5:$R$5,0))</f>
        <v>4.5671094668489065E-2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C96</f>
        <v>2958.0263291831811</v>
      </c>
      <c r="F22" s="122"/>
      <c r="G22" s="122"/>
      <c r="H22" s="321" t="s">
        <v>897</v>
      </c>
      <c r="I22" s="321"/>
      <c r="J22" s="284">
        <f>$C$70*((1+J21)^4)*$C$33</f>
        <v>2333.7641281198039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C97</f>
        <v>8993.9445893955108</v>
      </c>
      <c r="F23" s="122"/>
      <c r="G23" s="122"/>
      <c r="H23" s="322" t="s">
        <v>874</v>
      </c>
      <c r="I23" s="322"/>
      <c r="J23" s="284">
        <f>$C$71*((1+J21)^4)*$C$33</f>
        <v>7095.8615364402367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$E$22*((1+$E$21)^3)</f>
        <v>4040.1375458470925</v>
      </c>
      <c r="F24" s="122"/>
      <c r="G24" s="122"/>
      <c r="H24" s="322" t="s">
        <v>903</v>
      </c>
      <c r="I24" s="322"/>
      <c r="J24" s="284">
        <f>$C$70*((1+J21)^7)*$C$33</f>
        <v>2668.3467747205536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$E$23*((1+$E$21)^3)</f>
        <v>12284.127717997366</v>
      </c>
      <c r="F25" s="122"/>
      <c r="G25" s="122"/>
      <c r="H25" s="322" t="s">
        <v>904</v>
      </c>
      <c r="I25" s="322"/>
      <c r="J25" s="284">
        <f>$C$71*((1+J21)^7)*$C$33</f>
        <v>8113.1674861582014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ht="28.25" customHeight="1" x14ac:dyDescent="0.45">
      <c r="A32" s="24"/>
      <c r="B32" s="117" t="s">
        <v>998</v>
      </c>
      <c r="C32" s="115">
        <v>1</v>
      </c>
      <c r="D32" s="166" t="s">
        <v>1003</v>
      </c>
      <c r="F32" s="86"/>
    </row>
    <row r="33" spans="1:13" ht="32.450000000000003" customHeight="1" x14ac:dyDescent="0.45">
      <c r="A33" s="24"/>
      <c r="B33" s="117" t="s">
        <v>999</v>
      </c>
      <c r="C33" s="115">
        <v>1</v>
      </c>
      <c r="D33" s="166"/>
      <c r="F33" s="86"/>
    </row>
    <row r="34" spans="1:13" x14ac:dyDescent="0.45">
      <c r="A34" s="24"/>
      <c r="B34" s="116" t="s">
        <v>758</v>
      </c>
      <c r="C34" s="161">
        <f>'Cenario B benchmark va'!C7</f>
        <v>1.149494187747082E-2</v>
      </c>
    </row>
    <row r="35" spans="1:13" x14ac:dyDescent="0.45">
      <c r="A35" s="24"/>
      <c r="B35" s="116" t="s">
        <v>744</v>
      </c>
      <c r="C35" s="161">
        <f>'Cenario B benchmark va'!D7</f>
        <v>4.584443286019059E-2</v>
      </c>
    </row>
    <row r="36" spans="1:13" x14ac:dyDescent="0.45">
      <c r="A36" s="24"/>
      <c r="B36" s="116" t="s">
        <v>745</v>
      </c>
      <c r="C36" s="164" t="str">
        <f>IF(D53&lt;3%,"produto disruptivo", "produto representativo")</f>
        <v>produto representativo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45">
      <c r="A49" s="24"/>
      <c r="B49" s="215" t="s">
        <v>518</v>
      </c>
      <c r="C49" s="107">
        <f>VLOOKUP($B49,'Dados IBGE - VA'!$A$4:$G$423,2,FALSE)</f>
        <v>3214831</v>
      </c>
      <c r="D49" s="107">
        <f>VLOOKUP($B49,'Dados IBGE - VA'!$A$4:$G$423,3,FALSE)</f>
        <v>1602659</v>
      </c>
      <c r="E49" s="107">
        <f>VLOOKUP($B49,'Dados IBGE - VA'!$A$4:$G$423,4,FALSE)</f>
        <v>2664746</v>
      </c>
      <c r="F49" s="107">
        <f>VLOOKUP($B49,'Dados IBGE - VA'!$A$4:$G$423,5,FALSE)</f>
        <v>2118344</v>
      </c>
      <c r="G49" s="107">
        <f>VLOOKUP($B49,'Dados IBGE - VA'!$A$4:$G$423,6,FALSE)</f>
        <v>4861725</v>
      </c>
      <c r="H49" s="107">
        <f>VLOOKUP($B49,'Dados IBGE - VA'!$A$4:$G$423,7,FALSE)</f>
        <v>7545650</v>
      </c>
      <c r="I49" s="83">
        <f>C49*$C$28</f>
        <v>4379452.9590094015</v>
      </c>
      <c r="K49" s="24"/>
      <c r="L49" s="24"/>
    </row>
    <row r="50" spans="1:13" x14ac:dyDescent="0.45">
      <c r="A50" s="24"/>
      <c r="C50" s="14"/>
      <c r="D50" s="14"/>
      <c r="E50" s="14"/>
      <c r="F50" s="14"/>
      <c r="G50" s="14"/>
      <c r="H50" s="24"/>
      <c r="I50" s="24"/>
      <c r="K50" s="24"/>
      <c r="L50" s="24"/>
    </row>
    <row r="51" spans="1:13" x14ac:dyDescent="0.45">
      <c r="A51" s="24"/>
      <c r="B51" s="75" t="s">
        <v>184</v>
      </c>
      <c r="C51" s="24"/>
      <c r="D51" s="24"/>
      <c r="E51" s="24"/>
      <c r="F51" s="24"/>
      <c r="G51" s="90"/>
      <c r="H51" s="24"/>
      <c r="I51" s="24"/>
      <c r="K51" s="24"/>
      <c r="L51" s="24"/>
    </row>
    <row r="52" spans="1:13" x14ac:dyDescent="0.45">
      <c r="A52" s="24"/>
      <c r="B52" s="170" t="s">
        <v>44</v>
      </c>
      <c r="C52" s="171" t="s">
        <v>43</v>
      </c>
      <c r="D52" s="171">
        <v>2021</v>
      </c>
      <c r="E52" s="171" t="s">
        <v>48</v>
      </c>
      <c r="F52" s="171" t="s">
        <v>39</v>
      </c>
      <c r="G52" s="90"/>
      <c r="I52" s="90"/>
      <c r="J52" s="24"/>
      <c r="K52" s="24"/>
    </row>
    <row r="53" spans="1:13" x14ac:dyDescent="0.45">
      <c r="A53" s="24"/>
      <c r="B53" s="22" t="s">
        <v>987</v>
      </c>
      <c r="C53" s="84">
        <f>C49*$C$31*$C$30/1000</f>
        <v>1052.9893233558651</v>
      </c>
      <c r="D53" s="84">
        <f>(H49*$C$29/1000)</f>
        <v>1433.6735000000001</v>
      </c>
      <c r="E53" s="94">
        <f>D53-C53</f>
        <v>380.68417664413505</v>
      </c>
      <c r="F53" s="95">
        <f>(D53/C53)^(1/5)-1</f>
        <v>6.3665952835591622E-2</v>
      </c>
      <c r="G53" s="90"/>
      <c r="H53" s="90"/>
      <c r="I53" s="90"/>
      <c r="J53" s="14"/>
      <c r="M53" s="14"/>
    </row>
    <row r="54" spans="1:13" x14ac:dyDescent="0.45">
      <c r="A54" s="24"/>
      <c r="B54" s="23" t="s">
        <v>988</v>
      </c>
      <c r="C54" s="87"/>
      <c r="D54" s="87">
        <f>D55*D53</f>
        <v>1433.6735000000001</v>
      </c>
      <c r="E54" s="248"/>
      <c r="F54" s="95"/>
      <c r="G54" s="90"/>
      <c r="H54" s="90"/>
      <c r="I54" s="90"/>
      <c r="J54" s="14"/>
      <c r="M54" s="14"/>
    </row>
    <row r="55" spans="1:13" x14ac:dyDescent="0.45">
      <c r="A55" s="24"/>
      <c r="D55" s="131">
        <f>C32</f>
        <v>1</v>
      </c>
      <c r="E55" s="14"/>
      <c r="F55" s="14"/>
      <c r="G55" s="14"/>
      <c r="H55" s="14"/>
      <c r="I55" s="14"/>
      <c r="J55" s="14"/>
      <c r="M55" s="14"/>
    </row>
    <row r="56" spans="1:13" x14ac:dyDescent="0.45">
      <c r="A56" s="24" t="s">
        <v>50</v>
      </c>
      <c r="B56" s="74" t="s">
        <v>786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x14ac:dyDescent="0.45">
      <c r="A57" s="24"/>
      <c r="B57" s="75" t="s">
        <v>783</v>
      </c>
      <c r="C57" s="127"/>
      <c r="D57" s="127"/>
      <c r="E57" s="127"/>
      <c r="F57" s="127"/>
      <c r="G57" s="127"/>
      <c r="H57" s="127"/>
      <c r="I57" s="124"/>
      <c r="J57" s="24"/>
      <c r="K57" s="24"/>
    </row>
    <row r="58" spans="1:13" x14ac:dyDescent="0.45">
      <c r="A58" s="24"/>
      <c r="B58" s="20" t="s">
        <v>44</v>
      </c>
      <c r="C58" s="25">
        <v>2016</v>
      </c>
      <c r="D58" s="25">
        <v>2017</v>
      </c>
      <c r="E58" s="25">
        <v>2018</v>
      </c>
      <c r="F58" s="25">
        <v>2019</v>
      </c>
      <c r="G58" s="25">
        <v>2020</v>
      </c>
      <c r="H58" s="25">
        <v>2021</v>
      </c>
      <c r="J58" s="183" t="s">
        <v>782</v>
      </c>
      <c r="K58" s="24"/>
    </row>
    <row r="59" spans="1:13" x14ac:dyDescent="0.45">
      <c r="A59" s="24"/>
      <c r="B59" s="215" t="s">
        <v>518</v>
      </c>
      <c r="C59" s="78">
        <f>VLOOKUP($B59,'Dados IBGE - VPB'!$A$4:$G$423,2,FALSE)</f>
        <v>14632198</v>
      </c>
      <c r="D59" s="78">
        <f>VLOOKUP($B59,'Dados IBGE - VPB'!$A$4:$G$423,3,FALSE)</f>
        <v>12571070</v>
      </c>
      <c r="E59" s="78">
        <f>VLOOKUP($B59,'Dados IBGE - VPB'!$A$4:$G$423,4,FALSE)</f>
        <v>13834509</v>
      </c>
      <c r="F59" s="78">
        <f>VLOOKUP($B59,'Dados IBGE - VPB'!$A$4:$G$423,5,FALSE)</f>
        <v>13556207</v>
      </c>
      <c r="G59" s="78">
        <f>VLOOKUP($B59,'Dados IBGE - VPB'!$A$4:$G$423,6,FALSE)</f>
        <v>17182505</v>
      </c>
      <c r="H59" s="78">
        <f>VLOOKUP($B59,'Dados IBGE - VPB'!$A$4:$G$423,7,FALSE)</f>
        <v>22942716</v>
      </c>
      <c r="J59" s="187">
        <f t="shared" ref="J59" si="0">H59*$C$29/1000</f>
        <v>4359.1160399999999</v>
      </c>
      <c r="K59" s="24"/>
    </row>
    <row r="60" spans="1:13" x14ac:dyDescent="0.45">
      <c r="A60" s="24"/>
      <c r="B60" s="109"/>
      <c r="C60" s="130"/>
      <c r="D60" s="130"/>
      <c r="E60" s="130"/>
      <c r="F60" s="130"/>
      <c r="G60" s="130"/>
      <c r="H60" s="130"/>
      <c r="I60" s="11" t="s">
        <v>989</v>
      </c>
      <c r="J60" s="182">
        <f>D54*J59/D53</f>
        <v>4359.1160399999999</v>
      </c>
      <c r="K60" s="24"/>
    </row>
    <row r="61" spans="1:13" x14ac:dyDescent="0.45">
      <c r="A61" s="24" t="s">
        <v>784</v>
      </c>
      <c r="B61" s="21" t="s">
        <v>877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x14ac:dyDescent="0.45">
      <c r="B62" s="73" t="s">
        <v>229</v>
      </c>
    </row>
    <row r="63" spans="1:13" x14ac:dyDescent="0.45">
      <c r="B63" s="73"/>
    </row>
    <row r="64" spans="1:13" x14ac:dyDescent="0.45">
      <c r="B64" t="s">
        <v>817</v>
      </c>
      <c r="C64">
        <f>2026-2021</f>
        <v>5</v>
      </c>
    </row>
    <row r="65" spans="2:5" x14ac:dyDescent="0.45">
      <c r="B65" t="s">
        <v>818</v>
      </c>
      <c r="C65">
        <f>2030-2026</f>
        <v>4</v>
      </c>
    </row>
    <row r="66" spans="2:5" x14ac:dyDescent="0.45">
      <c r="B66" s="73"/>
    </row>
    <row r="67" spans="2:5" x14ac:dyDescent="0.45">
      <c r="B67" s="1" t="s">
        <v>858</v>
      </c>
    </row>
    <row r="68" spans="2:5" x14ac:dyDescent="0.45">
      <c r="B68" s="270"/>
      <c r="C68" s="271"/>
      <c r="D68" s="271"/>
      <c r="E68" s="271"/>
    </row>
    <row r="69" spans="2:5" x14ac:dyDescent="0.45">
      <c r="B69" s="23" t="s">
        <v>862</v>
      </c>
      <c r="C69" s="144">
        <f>F53</f>
        <v>6.3665952835591622E-2</v>
      </c>
      <c r="D69" s="85"/>
    </row>
    <row r="70" spans="2:5" x14ac:dyDescent="0.45">
      <c r="B70" s="23" t="s">
        <v>974</v>
      </c>
      <c r="C70" s="87">
        <f>D53*((1+C69)^C64)</f>
        <v>1951.9853231290624</v>
      </c>
      <c r="D70" s="85"/>
    </row>
    <row r="71" spans="2:5" x14ac:dyDescent="0.45">
      <c r="B71" s="23" t="s">
        <v>975</v>
      </c>
      <c r="C71" s="87">
        <f>J59*((1+C69)^C64)</f>
        <v>5935.0546214995802</v>
      </c>
      <c r="D71" s="85"/>
    </row>
    <row r="72" spans="2:5" x14ac:dyDescent="0.45">
      <c r="B72" s="23" t="s">
        <v>863</v>
      </c>
      <c r="C72" s="87">
        <f>D54*((1+C69)^C64)</f>
        <v>1951.9853231290624</v>
      </c>
      <c r="D72" s="98"/>
      <c r="E72" s="98"/>
    </row>
    <row r="73" spans="2:5" x14ac:dyDescent="0.45">
      <c r="B73" s="23" t="s">
        <v>864</v>
      </c>
      <c r="C73" s="178">
        <f>J60*((1+C69)^C64)</f>
        <v>5935.0546214995802</v>
      </c>
      <c r="D73" s="85"/>
    </row>
    <row r="74" spans="2:5" x14ac:dyDescent="0.45">
      <c r="B74" s="23"/>
      <c r="C74" s="178"/>
      <c r="D74" s="85"/>
    </row>
    <row r="75" spans="2:5" x14ac:dyDescent="0.45">
      <c r="B75" s="1" t="s">
        <v>859</v>
      </c>
    </row>
    <row r="76" spans="2:5" x14ac:dyDescent="0.45">
      <c r="B76" s="270"/>
      <c r="C76" s="271"/>
      <c r="D76" s="271"/>
      <c r="E76" s="271"/>
    </row>
    <row r="77" spans="2:5" x14ac:dyDescent="0.45">
      <c r="B77" s="23" t="s">
        <v>862</v>
      </c>
      <c r="C77" s="144">
        <f>C69</f>
        <v>6.3665952835591622E-2</v>
      </c>
      <c r="D77" s="85"/>
    </row>
    <row r="78" spans="2:5" x14ac:dyDescent="0.45">
      <c r="B78" s="23" t="s">
        <v>880</v>
      </c>
      <c r="C78" s="87">
        <f>C72*((1+C77)^C65)</f>
        <v>2498.6048576650974</v>
      </c>
      <c r="D78" s="98"/>
      <c r="E78" s="98"/>
    </row>
    <row r="79" spans="2:5" x14ac:dyDescent="0.45">
      <c r="B79" s="23" t="s">
        <v>881</v>
      </c>
      <c r="C79" s="178">
        <f>C73*((1+C77)^C65)</f>
        <v>7597.063426693624</v>
      </c>
      <c r="D79" s="85"/>
    </row>
    <row r="80" spans="2:5" x14ac:dyDescent="0.45">
      <c r="B80" s="23"/>
      <c r="C80" s="178"/>
      <c r="D80" s="85"/>
    </row>
    <row r="81" spans="2:5" x14ac:dyDescent="0.45">
      <c r="B81" s="1" t="s">
        <v>860</v>
      </c>
    </row>
    <row r="82" spans="2:5" x14ac:dyDescent="0.45">
      <c r="B82" s="270"/>
      <c r="C82" s="271"/>
      <c r="D82" s="271"/>
      <c r="E82" s="271"/>
    </row>
    <row r="83" spans="2:5" x14ac:dyDescent="0.45">
      <c r="B83" s="23" t="s">
        <v>866</v>
      </c>
      <c r="C83" s="144">
        <f>C69+C34</f>
        <v>7.5160894713062448E-2</v>
      </c>
      <c r="D83" s="85"/>
    </row>
    <row r="84" spans="2:5" x14ac:dyDescent="0.45">
      <c r="B84" s="23" t="s">
        <v>977</v>
      </c>
      <c r="C84" s="248">
        <f>C70*((1+C83)^C65)</f>
        <v>2608.3771558895251</v>
      </c>
      <c r="D84" s="85"/>
    </row>
    <row r="85" spans="2:5" x14ac:dyDescent="0.45">
      <c r="B85" s="23" t="s">
        <v>978</v>
      </c>
      <c r="C85" s="248">
        <f>C71*((1+C83)^C65)</f>
        <v>7930.8285314666191</v>
      </c>
      <c r="D85" s="85"/>
    </row>
    <row r="86" spans="2:5" ht="17" customHeight="1" x14ac:dyDescent="0.45">
      <c r="B86" s="23" t="s">
        <v>880</v>
      </c>
      <c r="C86" s="11">
        <f>C84*C33</f>
        <v>2608.3771558895251</v>
      </c>
      <c r="D86" s="98"/>
      <c r="E86" s="98"/>
    </row>
    <row r="87" spans="2:5" ht="17" customHeight="1" x14ac:dyDescent="0.45">
      <c r="B87" s="23" t="s">
        <v>881</v>
      </c>
      <c r="C87" s="187">
        <f>C85*C33</f>
        <v>7930.8285314666191</v>
      </c>
      <c r="D87" s="85"/>
    </row>
    <row r="88" spans="2:5" ht="17" customHeight="1" x14ac:dyDescent="0.45"/>
    <row r="89" spans="2:5" ht="17" customHeight="1" x14ac:dyDescent="0.45">
      <c r="B89" s="274" t="s">
        <v>849</v>
      </c>
      <c r="C89" s="274" t="str">
        <f>C36</f>
        <v>produto representativo</v>
      </c>
    </row>
    <row r="90" spans="2:5" ht="17" customHeight="1" x14ac:dyDescent="0.45"/>
    <row r="91" spans="2:5" x14ac:dyDescent="0.45">
      <c r="B91" s="1" t="s">
        <v>861</v>
      </c>
    </row>
    <row r="92" spans="2:5" x14ac:dyDescent="0.45">
      <c r="B92" s="270"/>
      <c r="C92" s="271"/>
      <c r="D92" s="271"/>
      <c r="E92" s="271"/>
    </row>
    <row r="93" spans="2:5" x14ac:dyDescent="0.45">
      <c r="B93" s="23" t="s">
        <v>866</v>
      </c>
      <c r="C93" s="144">
        <f>C69+C35</f>
        <v>0.10951038569578221</v>
      </c>
      <c r="D93" s="85"/>
    </row>
    <row r="94" spans="2:5" x14ac:dyDescent="0.45">
      <c r="B94" s="23" t="s">
        <v>938</v>
      </c>
      <c r="C94" s="248">
        <f>C70*((1+C93)^C65)</f>
        <v>2958.0263291831811</v>
      </c>
      <c r="D94" s="85"/>
    </row>
    <row r="95" spans="2:5" x14ac:dyDescent="0.45">
      <c r="B95" s="23" t="s">
        <v>940</v>
      </c>
      <c r="C95" s="248">
        <f>C71*((1+C93)^C65)</f>
        <v>8993.9445893955108</v>
      </c>
      <c r="D95" s="85"/>
    </row>
    <row r="96" spans="2:5" ht="17" customHeight="1" x14ac:dyDescent="0.45">
      <c r="B96" s="23" t="s">
        <v>880</v>
      </c>
      <c r="C96" s="11">
        <f>C94*$C$33</f>
        <v>2958.0263291831811</v>
      </c>
      <c r="D96" s="98"/>
      <c r="E96" s="98"/>
    </row>
    <row r="97" spans="2:4" ht="17" customHeight="1" x14ac:dyDescent="0.45">
      <c r="B97" s="23" t="s">
        <v>881</v>
      </c>
      <c r="C97" s="187">
        <f>C95*$C$33</f>
        <v>8993.9445893955108</v>
      </c>
      <c r="D97" s="8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4F14-AD98-4592-BBAF-373192C911A5}">
  <dimension ref="A1:N97"/>
  <sheetViews>
    <sheetView showGridLines="0" workbookViewId="0"/>
  </sheetViews>
  <sheetFormatPr defaultColWidth="8.86328125" defaultRowHeight="14.25" x14ac:dyDescent="0.45"/>
  <cols>
    <col min="1" max="1" width="4.86328125" customWidth="1"/>
    <col min="2" max="2" width="29" customWidth="1"/>
    <col min="3" max="3" width="12.53125" customWidth="1"/>
    <col min="4" max="4" width="11.33203125" customWidth="1"/>
    <col min="5" max="5" width="10.33203125" customWidth="1"/>
    <col min="6" max="6" width="13.6640625" bestFit="1" customWidth="1"/>
    <col min="7" max="8" width="16" customWidth="1"/>
    <col min="9" max="9" width="14.6640625" customWidth="1"/>
    <col min="10" max="10" width="13.6640625" bestFit="1" customWidth="1"/>
    <col min="11" max="12" width="16.53125" customWidth="1"/>
    <col min="13" max="13" width="15.1328125" customWidth="1"/>
  </cols>
  <sheetData>
    <row r="1" spans="1:14" s="69" customFormat="1" ht="22.25" customHeight="1" thickBot="1" x14ac:dyDescent="0.6">
      <c r="A1" s="70" t="s">
        <v>741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C75</f>
        <v>5.356273913971199E-3</v>
      </c>
      <c r="F5" s="122"/>
      <c r="G5" s="122"/>
      <c r="H5" s="315" t="s">
        <v>908</v>
      </c>
      <c r="I5" s="323" t="str">
        <f>Output_Etapa1!$B$14</f>
        <v>Eletrônicos</v>
      </c>
      <c r="J5" s="324">
        <f>E5+INDEX(Output_Etapa1!$B$5:$R$14,MATCH(I5,Output_Etapa1!$B$5:$B$14,0),MATCH(H5,Output_Etapa1!$B$5:$R$5,0))</f>
        <v>4.6242208522982331E-2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C76</f>
        <v>23.633317811129686</v>
      </c>
      <c r="F6" s="122"/>
      <c r="G6" s="122"/>
      <c r="H6" s="321" t="s">
        <v>897</v>
      </c>
      <c r="I6" s="321"/>
      <c r="J6" s="284">
        <f>E6*((1+$J$5)^4)</f>
        <v>28.317417396722124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C77</f>
        <v>118.58925820442438</v>
      </c>
      <c r="F7" s="122"/>
      <c r="G7" s="122"/>
      <c r="H7" s="322" t="s">
        <v>874</v>
      </c>
      <c r="I7" s="322"/>
      <c r="J7" s="284">
        <f>E7*((1+$J$5)^4)</f>
        <v>142.0935287283651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32.430254185975699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C81</f>
        <v>5.356273913971199E-3</v>
      </c>
      <c r="F9" s="122"/>
      <c r="G9" s="122"/>
      <c r="H9" s="322" t="s">
        <v>904</v>
      </c>
      <c r="I9" s="322"/>
      <c r="J9" s="283">
        <f>E7*((1+$J$5)^7)</f>
        <v>162.731268543456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C82</f>
        <v>24.143746644822354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C83</f>
        <v>121.15053111741575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24.533789944391916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123.10772332941137</v>
      </c>
      <c r="F13" s="122"/>
      <c r="G13" s="122"/>
      <c r="H13" s="315" t="s">
        <v>909</v>
      </c>
      <c r="I13" s="323" t="str">
        <f>Output_Etapa1!$B$14</f>
        <v>Eletrônicos</v>
      </c>
      <c r="J13" s="324">
        <f>E5+INDEX(Output_Etapa1!$B$5:$R$14,MATCH(I13,Output_Etapa1!$B$5:$B$14,0),MATCH(H13,Output_Etapa1!$B$5:$R$5,0))</f>
        <v>0.13675867924516472</v>
      </c>
      <c r="K13" s="122"/>
      <c r="L13" s="315" t="s">
        <v>997</v>
      </c>
      <c r="M13" s="323" t="str">
        <f>Output_Etapa1!$B$14</f>
        <v>Eletrônicos</v>
      </c>
      <c r="N13" s="324">
        <f>INDEX(Output_Etapa1!$B$5:$R$14,MATCH(M13,Output_Etapa1!$B$5:$B$14,0),MATCH(L13,Output_Etapa1!$B$5:$R$5,0))</f>
        <v>0.23423273945647138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39.46370084349379</v>
      </c>
      <c r="K14" s="122"/>
      <c r="L14" s="321" t="s">
        <v>897</v>
      </c>
      <c r="M14" s="321"/>
      <c r="N14" s="284">
        <f>E6*((1+$N$13)^4)</f>
        <v>54.841957112952322</v>
      </c>
    </row>
    <row r="15" spans="1:14" x14ac:dyDescent="0.45">
      <c r="B15" s="168" t="s">
        <v>747</v>
      </c>
      <c r="C15" s="168"/>
      <c r="D15" s="6" t="s">
        <v>39</v>
      </c>
      <c r="E15" s="169">
        <f>C87</f>
        <v>1.7409931871750873E-2</v>
      </c>
      <c r="F15" s="122"/>
      <c r="G15" s="122"/>
      <c r="H15" s="322" t="s">
        <v>874</v>
      </c>
      <c r="I15" s="322"/>
      <c r="J15" s="284">
        <f>E7*((1+$J$13)^4)</f>
        <v>198.02429123291768</v>
      </c>
      <c r="K15" s="122"/>
      <c r="L15" s="322" t="s">
        <v>874</v>
      </c>
      <c r="M15" s="322"/>
      <c r="N15" s="284">
        <f>E7*((1+$N$13)^4)</f>
        <v>275.19060440346152</v>
      </c>
    </row>
    <row r="16" spans="1:14" x14ac:dyDescent="0.45">
      <c r="B16" s="21" t="s">
        <v>232</v>
      </c>
      <c r="C16" s="21"/>
      <c r="D16" s="97"/>
      <c r="E16" s="284">
        <f>C88</f>
        <v>25.322617015151792</v>
      </c>
      <c r="F16" s="122"/>
      <c r="G16" s="122"/>
      <c r="H16" s="322" t="s">
        <v>903</v>
      </c>
      <c r="I16" s="322"/>
      <c r="J16" s="283">
        <f>E6*((1+$J$13)^7)</f>
        <v>57.969912729750867</v>
      </c>
      <c r="K16" s="122"/>
      <c r="L16" s="322" t="s">
        <v>903</v>
      </c>
      <c r="M16" s="322"/>
      <c r="N16" s="283">
        <f>E6*((1+$N$13)^7)</f>
        <v>103.11079420487495</v>
      </c>
    </row>
    <row r="17" spans="1:14" x14ac:dyDescent="0.45">
      <c r="B17" s="21" t="s">
        <v>874</v>
      </c>
      <c r="C17" s="21"/>
      <c r="D17" s="21"/>
      <c r="E17" s="284">
        <f>C89</f>
        <v>127.06596643012949</v>
      </c>
      <c r="F17" s="122"/>
      <c r="G17" s="122"/>
      <c r="H17" s="322" t="s">
        <v>904</v>
      </c>
      <c r="I17" s="322"/>
      <c r="J17" s="283">
        <f>E7*((1+$J$13)^7)</f>
        <v>290.88632428743881</v>
      </c>
      <c r="K17" s="122"/>
      <c r="L17" s="322" t="s">
        <v>904</v>
      </c>
      <c r="M17" s="322"/>
      <c r="N17" s="283">
        <f>E7*((1+$N$13)^7)</f>
        <v>517.39805199364355</v>
      </c>
    </row>
    <row r="18" spans="1:14" x14ac:dyDescent="0.45">
      <c r="B18" s="21" t="s">
        <v>903</v>
      </c>
      <c r="C18" s="21"/>
      <c r="D18" s="21"/>
      <c r="E18" s="283">
        <f>$E$6*((1+$E$15)^7)</f>
        <v>26.668372045793333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133.81880968658905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C95</f>
        <v>0.123</v>
      </c>
      <c r="F21" s="122"/>
      <c r="G21" s="122"/>
      <c r="H21" s="315" t="s">
        <v>910</v>
      </c>
      <c r="I21" s="323" t="str">
        <f>Output_Etapa1!$B$14</f>
        <v>Eletrônicos</v>
      </c>
      <c r="J21" s="324">
        <f>E5+INDEX(Output_Etapa1!$B$5:$R$14,MATCH(I21,Output_Etapa1!$B$5:$B$14,0),MATCH(H21,Output_Etapa1!$B$5:$R$5,0))</f>
        <v>1.3614389193871701E-2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C96</f>
        <v>37.587524160783424</v>
      </c>
      <c r="F22" s="122"/>
      <c r="G22" s="122"/>
      <c r="H22" s="321" t="s">
        <v>897</v>
      </c>
      <c r="I22" s="321"/>
      <c r="J22" s="284">
        <f>E6*((1+$J$21)^4)</f>
        <v>24.946852758055361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C97</f>
        <v>188.60985341080706</v>
      </c>
      <c r="F23" s="122"/>
      <c r="G23" s="122"/>
      <c r="H23" s="322" t="s">
        <v>874</v>
      </c>
      <c r="I23" s="322"/>
      <c r="J23" s="284">
        <f>E7*((1+$J$21)^4)</f>
        <v>125.18042480347658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53.233250918520483</v>
      </c>
      <c r="F24" s="122"/>
      <c r="G24" s="122"/>
      <c r="H24" s="322" t="s">
        <v>903</v>
      </c>
      <c r="I24" s="322"/>
      <c r="J24" s="283">
        <f>E6*((1+$J$21)^7)</f>
        <v>25.979696014696593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267.11830258823812</v>
      </c>
      <c r="F25" s="122"/>
      <c r="G25" s="122"/>
      <c r="H25" s="322" t="s">
        <v>904</v>
      </c>
      <c r="I25" s="322"/>
      <c r="J25" s="283">
        <f>E7*((1+$J$21)^7)</f>
        <v>130.36311293154145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ht="28.25" customHeight="1" x14ac:dyDescent="0.45">
      <c r="A32" s="24"/>
      <c r="B32" s="117" t="s">
        <v>742</v>
      </c>
      <c r="C32" s="115">
        <f>'Proporção Eq energia verde'!J13</f>
        <v>4.2966530710647551E-2</v>
      </c>
      <c r="F32" s="86"/>
      <c r="G32" s="13"/>
    </row>
    <row r="33" spans="1:13" ht="28.5" x14ac:dyDescent="0.45">
      <c r="A33" s="24"/>
      <c r="B33" s="117" t="s">
        <v>918</v>
      </c>
      <c r="C33" s="161">
        <f>'Cenario B benchmark va'!C13</f>
        <v>1.2053657957779674E-2</v>
      </c>
    </row>
    <row r="34" spans="1:13" ht="28.5" x14ac:dyDescent="0.45">
      <c r="A34" s="24"/>
      <c r="B34" s="117" t="s">
        <v>919</v>
      </c>
      <c r="C34" s="161">
        <f>'Cenario B benchmark va'!D13</f>
        <v>2.5081259979173081E-2</v>
      </c>
    </row>
    <row r="35" spans="1:13" ht="28.25" customHeight="1" x14ac:dyDescent="0.45">
      <c r="A35" s="24"/>
      <c r="B35" s="117" t="s">
        <v>760</v>
      </c>
      <c r="C35" s="115">
        <v>0.123</v>
      </c>
      <c r="F35" s="86"/>
      <c r="G35" s="13"/>
    </row>
    <row r="36" spans="1:13" x14ac:dyDescent="0.45">
      <c r="A36" s="24"/>
      <c r="B36" s="116" t="s">
        <v>745</v>
      </c>
      <c r="C36" s="164" t="str">
        <f>IF(D47&lt;5%,"produto disruptivo", "produto representativo")</f>
        <v>produto disruptivo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45">
      <c r="A49" s="24"/>
      <c r="B49" s="106" t="s">
        <v>194</v>
      </c>
      <c r="C49" s="107">
        <v>15398310</v>
      </c>
      <c r="D49" s="107">
        <v>17294138</v>
      </c>
      <c r="E49" s="107">
        <v>17142424</v>
      </c>
      <c r="F49" s="107">
        <v>17371353</v>
      </c>
      <c r="G49" s="107">
        <v>19039949</v>
      </c>
      <c r="H49" s="107">
        <v>27263728</v>
      </c>
      <c r="I49" s="83">
        <f>C49*$C$28</f>
        <v>20976584.55242097</v>
      </c>
      <c r="K49" s="24"/>
      <c r="L49" s="24"/>
    </row>
    <row r="50" spans="1:13" x14ac:dyDescent="0.45">
      <c r="A50" s="24"/>
      <c r="B50" s="139" t="s">
        <v>272</v>
      </c>
      <c r="C50" s="140">
        <v>916188</v>
      </c>
      <c r="D50" s="141">
        <v>1918226</v>
      </c>
      <c r="E50" s="141">
        <v>2196885</v>
      </c>
      <c r="F50" s="141">
        <v>1586940</v>
      </c>
      <c r="G50" s="141">
        <v>2002138</v>
      </c>
      <c r="H50" s="141">
        <v>2818648</v>
      </c>
      <c r="I50" s="87"/>
      <c r="K50" s="24"/>
      <c r="L50" s="24"/>
    </row>
    <row r="51" spans="1:13" x14ac:dyDescent="0.45">
      <c r="A51" s="24"/>
      <c r="B51" s="109" t="s">
        <v>743</v>
      </c>
      <c r="C51" s="113">
        <f>C50*$C$32</f>
        <v>39365.419838726761</v>
      </c>
      <c r="D51" s="113">
        <f t="shared" ref="D51:H51" si="0">D50*$C$32</f>
        <v>82419.51633896261</v>
      </c>
      <c r="E51" s="113">
        <f t="shared" si="0"/>
        <v>94392.526820260944</v>
      </c>
      <c r="F51" s="113">
        <f t="shared" si="0"/>
        <v>68185.306245955027</v>
      </c>
      <c r="G51" s="113">
        <f t="shared" si="0"/>
        <v>86024.923863954464</v>
      </c>
      <c r="H51" s="113">
        <f t="shared" si="0"/>
        <v>121107.52585450529</v>
      </c>
      <c r="I51" s="11"/>
      <c r="K51" s="24"/>
      <c r="L51" s="24"/>
    </row>
    <row r="52" spans="1:13" x14ac:dyDescent="0.45">
      <c r="A52" s="24"/>
      <c r="C52" s="14"/>
      <c r="D52" s="14"/>
      <c r="E52" s="14"/>
      <c r="F52" s="14"/>
      <c r="G52" s="14"/>
      <c r="H52" s="24"/>
      <c r="I52" s="24"/>
      <c r="K52" s="24"/>
      <c r="L52" s="24"/>
    </row>
    <row r="53" spans="1:13" x14ac:dyDescent="0.45">
      <c r="A53" s="24"/>
      <c r="B53" s="75" t="s">
        <v>184</v>
      </c>
      <c r="C53" s="24"/>
      <c r="D53" s="24"/>
      <c r="E53" s="24"/>
      <c r="F53" s="24"/>
      <c r="G53" s="90"/>
      <c r="H53" s="24"/>
      <c r="I53" s="24"/>
      <c r="K53" s="24"/>
      <c r="L53" s="24"/>
    </row>
    <row r="54" spans="1:13" x14ac:dyDescent="0.45">
      <c r="A54" s="24"/>
      <c r="B54" s="170" t="s">
        <v>44</v>
      </c>
      <c r="C54" s="171" t="s">
        <v>43</v>
      </c>
      <c r="D54" s="171">
        <v>2021</v>
      </c>
      <c r="E54" s="171" t="s">
        <v>39</v>
      </c>
      <c r="G54" s="90"/>
      <c r="I54" s="90"/>
      <c r="J54" s="24"/>
      <c r="K54" s="24"/>
    </row>
    <row r="55" spans="1:13" x14ac:dyDescent="0.45">
      <c r="A55" s="24"/>
      <c r="B55" s="22" t="s">
        <v>814</v>
      </c>
      <c r="C55" s="84">
        <f>C49*$C$31*$C$30/1000</f>
        <v>5043.5795933670697</v>
      </c>
      <c r="D55" s="84">
        <f>H49*$C$29/1000</f>
        <v>5180.1083200000003</v>
      </c>
      <c r="E55" s="95">
        <f>(D55/C55)^(1/5)-1</f>
        <v>5.356273913971199E-3</v>
      </c>
      <c r="G55" s="90"/>
      <c r="H55" s="90"/>
      <c r="I55" s="90"/>
      <c r="J55" s="14"/>
      <c r="M55" s="14"/>
    </row>
    <row r="56" spans="1:13" x14ac:dyDescent="0.45">
      <c r="A56" s="24"/>
      <c r="B56" s="226" t="s">
        <v>743</v>
      </c>
      <c r="C56" s="84">
        <f>C51*$C$31*$C$30/1000</f>
        <v>12.893793421676111</v>
      </c>
      <c r="D56" s="84">
        <f>H51*$C$29/1000</f>
        <v>23.010429912356006</v>
      </c>
      <c r="E56" s="96">
        <f>(D56/C56)^(1/5)-1</f>
        <v>0.1228165489764419</v>
      </c>
      <c r="G56" s="24"/>
      <c r="H56" s="24"/>
      <c r="I56" s="14"/>
      <c r="J56" s="14"/>
      <c r="M56" s="14"/>
    </row>
    <row r="57" spans="1:13" x14ac:dyDescent="0.45">
      <c r="A57" s="24"/>
      <c r="B57" t="s">
        <v>813</v>
      </c>
      <c r="C57" s="131">
        <f>C56/C55</f>
        <v>2.5564766418345103E-3</v>
      </c>
      <c r="D57" s="131">
        <f>D56/D55</f>
        <v>4.442075047642248E-3</v>
      </c>
      <c r="E57" s="14"/>
      <c r="F57" s="14"/>
      <c r="G57" s="14"/>
      <c r="H57" s="14"/>
      <c r="I57" s="14"/>
      <c r="J57" s="14"/>
      <c r="M57" s="14"/>
    </row>
    <row r="58" spans="1:13" x14ac:dyDescent="0.45">
      <c r="A58" s="24"/>
      <c r="D58" s="131"/>
      <c r="E58" s="14"/>
      <c r="F58" s="14"/>
      <c r="G58" s="14"/>
      <c r="H58" s="14"/>
      <c r="I58" s="14"/>
      <c r="J58" s="14"/>
      <c r="M58" s="14"/>
    </row>
    <row r="59" spans="1:13" x14ac:dyDescent="0.45">
      <c r="A59" s="24" t="s">
        <v>50</v>
      </c>
      <c r="B59" s="74" t="s">
        <v>786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45">
      <c r="A60" s="24"/>
      <c r="B60" s="75" t="s">
        <v>783</v>
      </c>
      <c r="C60" s="127"/>
      <c r="D60" s="127"/>
      <c r="E60" s="127"/>
      <c r="F60" s="127"/>
      <c r="G60" s="127"/>
      <c r="H60" s="127"/>
      <c r="I60" s="124"/>
      <c r="J60" s="24"/>
      <c r="K60" s="24"/>
    </row>
    <row r="61" spans="1:13" x14ac:dyDescent="0.45">
      <c r="A61" s="24"/>
      <c r="B61" s="20" t="s">
        <v>44</v>
      </c>
      <c r="C61" s="25">
        <v>2016</v>
      </c>
      <c r="D61" s="25">
        <v>2017</v>
      </c>
      <c r="E61" s="25">
        <v>2018</v>
      </c>
      <c r="F61" s="25">
        <v>2019</v>
      </c>
      <c r="G61" s="25">
        <v>2020</v>
      </c>
      <c r="H61" s="25">
        <v>2021</v>
      </c>
      <c r="J61" s="183" t="s">
        <v>782</v>
      </c>
      <c r="K61" s="24"/>
    </row>
    <row r="62" spans="1:13" x14ac:dyDescent="0.45">
      <c r="A62" s="24"/>
      <c r="B62" s="106" t="s">
        <v>194</v>
      </c>
      <c r="C62" s="78">
        <f>VLOOKUP($B62,'Dados IBGE - VPB'!$A$4:$G$423,2,FALSE)</f>
        <v>73150745</v>
      </c>
      <c r="D62" s="78">
        <f>VLOOKUP($B62,'Dados IBGE - VPB'!$A$4:$G$423,3,FALSE)</f>
        <v>86771242</v>
      </c>
      <c r="E62" s="78">
        <f>VLOOKUP($B62,'Dados IBGE - VPB'!$A$4:$G$423,4,FALSE)</f>
        <v>99507283</v>
      </c>
      <c r="F62" s="78">
        <f>VLOOKUP($B62,'Dados IBGE - VPB'!$A$4:$G$423,5,FALSE)</f>
        <v>100390273</v>
      </c>
      <c r="G62" s="78">
        <f>VLOOKUP($B62,'Dados IBGE - VPB'!$A$4:$G$423,6,FALSE)</f>
        <v>108491943</v>
      </c>
      <c r="H62" s="78">
        <f>VLOOKUP($B62,'Dados IBGE - VPB'!$A$4:$G$423,7,FALSE)</f>
        <v>140418767</v>
      </c>
      <c r="J62" s="11">
        <f t="shared" ref="J62:J63" si="1">H62*$C$29/1000</f>
        <v>26679.565730000002</v>
      </c>
      <c r="K62" s="24"/>
    </row>
    <row r="63" spans="1:13" x14ac:dyDescent="0.45">
      <c r="A63" s="24"/>
      <c r="B63" s="139" t="s">
        <v>272</v>
      </c>
      <c r="C63" s="186">
        <f>VLOOKUP($B63,'Dados IBGE - VPB'!$A$4:$G$423,2,FALSE)</f>
        <v>3981880</v>
      </c>
      <c r="D63" s="186">
        <f>VLOOKUP($B63,'Dados IBGE - VPB'!$A$4:$G$423,3,FALSE)</f>
        <v>6997812</v>
      </c>
      <c r="E63" s="186">
        <f>VLOOKUP($B63,'Dados IBGE - VPB'!$A$4:$G$423,4,FALSE)</f>
        <v>8262281</v>
      </c>
      <c r="F63" s="186">
        <f>VLOOKUP($B63,'Dados IBGE - VPB'!$A$4:$G$423,5,FALSE)</f>
        <v>6813506</v>
      </c>
      <c r="G63" s="186">
        <f>VLOOKUP($B63,'Dados IBGE - VPB'!$A$4:$G$423,6,FALSE)</f>
        <v>8217525</v>
      </c>
      <c r="H63" s="186">
        <f>VLOOKUP($B63,'Dados IBGE - VPB'!$A$4:$G$423,7,FALSE)</f>
        <v>14143650</v>
      </c>
      <c r="J63" s="11">
        <f t="shared" si="1"/>
        <v>2687.2935000000002</v>
      </c>
      <c r="K63" s="24"/>
    </row>
    <row r="64" spans="1:13" x14ac:dyDescent="0.45">
      <c r="A64" s="24"/>
      <c r="B64" s="109" t="s">
        <v>743</v>
      </c>
      <c r="C64" s="113">
        <f>C63*$C$32</f>
        <v>171087.56930611326</v>
      </c>
      <c r="D64" s="113">
        <f t="shared" ref="D64:H64" si="2">D63*$C$32</f>
        <v>300671.70420533797</v>
      </c>
      <c r="E64" s="113">
        <f t="shared" si="2"/>
        <v>355001.55032649974</v>
      </c>
      <c r="F64" s="113">
        <f t="shared" si="2"/>
        <v>292752.71479618136</v>
      </c>
      <c r="G64" s="113">
        <f t="shared" si="2"/>
        <v>353078.54027801403</v>
      </c>
      <c r="H64" s="113">
        <f t="shared" si="2"/>
        <v>607703.57208565017</v>
      </c>
      <c r="J64" s="187">
        <f>H64*$C$29/1000</f>
        <v>115.46367869627353</v>
      </c>
      <c r="K64" s="24"/>
    </row>
    <row r="65" spans="1:13" x14ac:dyDescent="0.45">
      <c r="A65" s="24"/>
      <c r="B65" s="109"/>
      <c r="C65" s="130"/>
      <c r="D65" s="130"/>
      <c r="E65" s="130"/>
      <c r="F65" s="130"/>
      <c r="G65" s="130"/>
      <c r="H65" s="130"/>
      <c r="I65" s="11"/>
      <c r="J65" s="182"/>
      <c r="K65" s="24"/>
    </row>
    <row r="66" spans="1:13" x14ac:dyDescent="0.45">
      <c r="A66" s="24"/>
      <c r="C66" s="14"/>
      <c r="D66" s="14"/>
      <c r="E66" s="14"/>
      <c r="F66" s="14"/>
      <c r="G66" s="14"/>
      <c r="H66" s="14"/>
    </row>
    <row r="67" spans="1:13" x14ac:dyDescent="0.45">
      <c r="A67" s="24" t="s">
        <v>784</v>
      </c>
      <c r="B67" s="21" t="s">
        <v>877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 spans="1:13" x14ac:dyDescent="0.45">
      <c r="B68" s="73" t="s">
        <v>229</v>
      </c>
    </row>
    <row r="69" spans="1:13" x14ac:dyDescent="0.45">
      <c r="B69" s="73"/>
    </row>
    <row r="70" spans="1:13" x14ac:dyDescent="0.45">
      <c r="B70" t="s">
        <v>817</v>
      </c>
      <c r="C70">
        <f>2026-2021</f>
        <v>5</v>
      </c>
    </row>
    <row r="71" spans="1:13" x14ac:dyDescent="0.45">
      <c r="B71" t="s">
        <v>818</v>
      </c>
      <c r="C71">
        <f>2030-2026</f>
        <v>4</v>
      </c>
    </row>
    <row r="72" spans="1:13" x14ac:dyDescent="0.45">
      <c r="B72" s="73"/>
    </row>
    <row r="73" spans="1:13" x14ac:dyDescent="0.45">
      <c r="B73" s="1" t="s">
        <v>858</v>
      </c>
    </row>
    <row r="74" spans="1:13" x14ac:dyDescent="0.45">
      <c r="B74" s="270" t="s">
        <v>852</v>
      </c>
      <c r="C74" s="271"/>
      <c r="D74" s="271"/>
      <c r="E74" s="271"/>
    </row>
    <row r="75" spans="1:13" x14ac:dyDescent="0.45">
      <c r="B75" s="23" t="s">
        <v>862</v>
      </c>
      <c r="C75" s="144">
        <f>E55</f>
        <v>5.356273913971199E-3</v>
      </c>
      <c r="D75" s="85"/>
    </row>
    <row r="76" spans="1:13" x14ac:dyDescent="0.45">
      <c r="B76" s="23" t="s">
        <v>863</v>
      </c>
      <c r="C76" s="87">
        <f>D56*((1+C75)^C70)</f>
        <v>23.633317811129686</v>
      </c>
      <c r="D76" s="98"/>
      <c r="E76" s="98"/>
    </row>
    <row r="77" spans="1:13" x14ac:dyDescent="0.45">
      <c r="B77" s="23" t="s">
        <v>864</v>
      </c>
      <c r="C77" s="178">
        <f>J64*((1+C75)^C70)</f>
        <v>118.58925820442438</v>
      </c>
      <c r="D77" s="85"/>
    </row>
    <row r="78" spans="1:13" x14ac:dyDescent="0.45">
      <c r="B78" s="23"/>
      <c r="C78" s="178"/>
      <c r="D78" s="85"/>
    </row>
    <row r="79" spans="1:13" x14ac:dyDescent="0.45">
      <c r="B79" s="1" t="s">
        <v>859</v>
      </c>
    </row>
    <row r="80" spans="1:13" x14ac:dyDescent="0.45">
      <c r="B80" s="270" t="s">
        <v>852</v>
      </c>
      <c r="C80" s="271"/>
      <c r="D80" s="271"/>
      <c r="E80" s="271"/>
    </row>
    <row r="81" spans="2:5" x14ac:dyDescent="0.45">
      <c r="B81" s="23" t="s">
        <v>862</v>
      </c>
      <c r="C81" s="144">
        <f>C75</f>
        <v>5.356273913971199E-3</v>
      </c>
      <c r="D81" s="85"/>
    </row>
    <row r="82" spans="2:5" x14ac:dyDescent="0.45">
      <c r="B82" s="23" t="s">
        <v>880</v>
      </c>
      <c r="C82" s="87">
        <f>C76*((1+C81)^C71)</f>
        <v>24.143746644822354</v>
      </c>
      <c r="D82" s="98"/>
      <c r="E82" s="98"/>
    </row>
    <row r="83" spans="2:5" x14ac:dyDescent="0.45">
      <c r="B83" s="23" t="s">
        <v>881</v>
      </c>
      <c r="C83" s="178">
        <f>C77*((1+C81)^C71)</f>
        <v>121.15053111741575</v>
      </c>
      <c r="D83" s="85"/>
    </row>
    <row r="84" spans="2:5" x14ac:dyDescent="0.45">
      <c r="B84" s="23"/>
      <c r="C84" s="178"/>
      <c r="D84" s="85"/>
    </row>
    <row r="85" spans="2:5" x14ac:dyDescent="0.45">
      <c r="B85" s="1" t="s">
        <v>860</v>
      </c>
    </row>
    <row r="86" spans="2:5" x14ac:dyDescent="0.45">
      <c r="B86" s="270" t="s">
        <v>865</v>
      </c>
      <c r="C86" s="271"/>
      <c r="D86" s="271"/>
      <c r="E86" s="271"/>
    </row>
    <row r="87" spans="2:5" x14ac:dyDescent="0.45">
      <c r="B87" s="23" t="s">
        <v>866</v>
      </c>
      <c r="C87" s="144">
        <f>C75+C33</f>
        <v>1.7409931871750873E-2</v>
      </c>
      <c r="D87" s="85"/>
    </row>
    <row r="88" spans="2:5" ht="17" customHeight="1" x14ac:dyDescent="0.45">
      <c r="B88" s="23" t="s">
        <v>880</v>
      </c>
      <c r="C88" s="248">
        <f>C76*((1+C87)^C71)</f>
        <v>25.322617015151792</v>
      </c>
      <c r="D88" s="98"/>
      <c r="E88" s="98"/>
    </row>
    <row r="89" spans="2:5" ht="17" customHeight="1" x14ac:dyDescent="0.45">
      <c r="B89" s="23" t="s">
        <v>881</v>
      </c>
      <c r="C89" s="178">
        <f>C77*((1+C87)^C71)</f>
        <v>127.06596643012949</v>
      </c>
      <c r="D89" s="85"/>
    </row>
    <row r="90" spans="2:5" ht="17" customHeight="1" x14ac:dyDescent="0.45"/>
    <row r="91" spans="2:5" ht="17" customHeight="1" x14ac:dyDescent="0.45">
      <c r="B91" s="274" t="s">
        <v>849</v>
      </c>
      <c r="C91" s="274" t="str">
        <f>C36</f>
        <v>produto disruptivo</v>
      </c>
    </row>
    <row r="92" spans="2:5" ht="17" customHeight="1" x14ac:dyDescent="0.45"/>
    <row r="93" spans="2:5" x14ac:dyDescent="0.45">
      <c r="B93" s="1" t="s">
        <v>861</v>
      </c>
    </row>
    <row r="94" spans="2:5" x14ac:dyDescent="0.45">
      <c r="B94" s="270" t="s">
        <v>882</v>
      </c>
      <c r="C94" s="271"/>
      <c r="D94" s="271"/>
      <c r="E94" s="271"/>
    </row>
    <row r="95" spans="2:5" ht="17" customHeight="1" x14ac:dyDescent="0.45">
      <c r="B95" s="23" t="s">
        <v>917</v>
      </c>
      <c r="C95" s="144">
        <f>IF(AND((C91="produto disruptivo"),(C35&gt;(C75+C34))),C35,(C75+C34))</f>
        <v>0.123</v>
      </c>
      <c r="D95" s="85"/>
    </row>
    <row r="96" spans="2:5" ht="17" customHeight="1" x14ac:dyDescent="0.45">
      <c r="B96" s="23" t="s">
        <v>880</v>
      </c>
      <c r="C96" s="248">
        <f>C76*((1+C95)^C71)</f>
        <v>37.587524160783424</v>
      </c>
      <c r="D96" s="282"/>
    </row>
    <row r="97" spans="2:5" ht="17" customHeight="1" x14ac:dyDescent="0.45">
      <c r="B97" s="23" t="s">
        <v>881</v>
      </c>
      <c r="C97" s="178">
        <f>C77*((1+C95)^C71)</f>
        <v>188.60985341080706</v>
      </c>
      <c r="D97" s="282"/>
      <c r="E97" s="11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093F-74D1-4B9C-A3FC-E3F587598E6D}">
  <dimension ref="A1:N96"/>
  <sheetViews>
    <sheetView showGridLines="0" zoomScaleNormal="100" workbookViewId="0"/>
  </sheetViews>
  <sheetFormatPr defaultColWidth="8.86328125"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8" width="16" customWidth="1"/>
    <col min="9" max="9" width="14.6640625" customWidth="1"/>
    <col min="10" max="10" width="13.6640625" bestFit="1" customWidth="1"/>
    <col min="11" max="12" width="16.53125" customWidth="1"/>
    <col min="13" max="13" width="15.1328125" customWidth="1"/>
  </cols>
  <sheetData>
    <row r="1" spans="1:14" s="69" customFormat="1" ht="22.25" customHeight="1" thickBot="1" x14ac:dyDescent="0.6">
      <c r="A1" s="70" t="s">
        <v>703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</row>
    <row r="5" spans="1:14" x14ac:dyDescent="0.45">
      <c r="B5" s="242" t="s">
        <v>875</v>
      </c>
      <c r="C5" s="242"/>
      <c r="D5" s="243" t="s">
        <v>39</v>
      </c>
      <c r="E5" s="244">
        <f>C74</f>
        <v>1.2007571625242575E-2</v>
      </c>
      <c r="F5" s="122"/>
      <c r="G5" s="122"/>
      <c r="H5" s="315" t="s">
        <v>908</v>
      </c>
      <c r="I5" s="323" t="str">
        <f>Output_Etapa1!$B$11</f>
        <v>Elétricos</v>
      </c>
      <c r="J5" s="324">
        <f>E5+INDEX(Output_Etapa1!$B$5:$R$14,MATCH(I5,Output_Etapa1!$B$5:$B$14,0),MATCH(H5,Output_Etapa1!$B$5:$R$5,0))</f>
        <v>4.7262517770944923E-2</v>
      </c>
      <c r="K5" s="122"/>
      <c r="L5" s="122"/>
      <c r="M5" s="122"/>
      <c r="N5" s="122"/>
    </row>
    <row r="6" spans="1:14" x14ac:dyDescent="0.45">
      <c r="B6" s="21" t="s">
        <v>816</v>
      </c>
      <c r="C6" s="21"/>
      <c r="D6" s="21"/>
      <c r="E6" s="283">
        <f>C75</f>
        <v>305.79335186142606</v>
      </c>
      <c r="F6" s="122"/>
      <c r="G6" s="122"/>
      <c r="H6" s="321" t="s">
        <v>897</v>
      </c>
      <c r="I6" s="321"/>
      <c r="J6" s="284">
        <f>E6*((1+$J$5)^4)</f>
        <v>367.83265326170607</v>
      </c>
      <c r="K6" s="122"/>
      <c r="L6" s="122"/>
      <c r="M6" s="122"/>
      <c r="N6" s="122"/>
    </row>
    <row r="7" spans="1:14" x14ac:dyDescent="0.45">
      <c r="B7" s="21" t="s">
        <v>873</v>
      </c>
      <c r="C7" s="21"/>
      <c r="D7" s="21"/>
      <c r="E7" s="283">
        <f>C76</f>
        <v>1140.5184688164263</v>
      </c>
      <c r="F7" s="122"/>
      <c r="G7" s="122"/>
      <c r="H7" s="322" t="s">
        <v>874</v>
      </c>
      <c r="I7" s="322"/>
      <c r="J7" s="284">
        <f>E7*((1+$J$5)^4)</f>
        <v>1371.9066550172581</v>
      </c>
      <c r="K7" s="122"/>
      <c r="L7" s="122"/>
      <c r="M7" s="122"/>
      <c r="N7" s="122"/>
    </row>
    <row r="8" spans="1:14" x14ac:dyDescent="0.45">
      <c r="F8" s="122"/>
      <c r="G8" s="122"/>
      <c r="H8" s="322" t="s">
        <v>903</v>
      </c>
      <c r="I8" s="322"/>
      <c r="J8" s="283">
        <f>E6*((1+$J$5)^7)</f>
        <v>422.49051188402007</v>
      </c>
      <c r="K8" s="122"/>
      <c r="L8" s="122"/>
      <c r="M8" s="122"/>
      <c r="N8" s="122"/>
    </row>
    <row r="9" spans="1:14" x14ac:dyDescent="0.45">
      <c r="B9" s="76" t="s">
        <v>832</v>
      </c>
      <c r="C9" s="76"/>
      <c r="D9" s="7" t="s">
        <v>39</v>
      </c>
      <c r="E9" s="172">
        <f>C80</f>
        <v>1.2007571625242575E-2</v>
      </c>
      <c r="F9" s="122"/>
      <c r="G9" s="122"/>
      <c r="H9" s="322" t="s">
        <v>904</v>
      </c>
      <c r="I9" s="322"/>
      <c r="J9" s="283">
        <f>E7*((1+$J$5)^7)</f>
        <v>1575.7642498447469</v>
      </c>
      <c r="K9" s="122"/>
      <c r="L9" s="122"/>
      <c r="M9" s="122"/>
      <c r="N9" s="122"/>
    </row>
    <row r="10" spans="1:14" x14ac:dyDescent="0.45">
      <c r="B10" s="21" t="s">
        <v>232</v>
      </c>
      <c r="C10" s="21"/>
      <c r="D10" s="21"/>
      <c r="E10" s="283">
        <f>C81</f>
        <v>320.74735713745207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C82</f>
        <v>1196.2924714108804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332.44084080311978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1239.9056958459912</v>
      </c>
      <c r="F13" s="122"/>
      <c r="G13" s="122"/>
      <c r="H13" s="315" t="s">
        <v>909</v>
      </c>
      <c r="I13" s="323" t="str">
        <f>Output_Etapa1!$B$11</f>
        <v>Elétricos</v>
      </c>
      <c r="J13" s="324">
        <f>E5+INDEX(Output_Etapa1!$B$5:$R$14,MATCH(I13,Output_Etapa1!$B$5:$B$14,0),MATCH(H13,Output_Etapa1!$B$5:$R$5,0))</f>
        <v>0.1304138589990782</v>
      </c>
      <c r="K13" s="122"/>
      <c r="L13" s="315" t="s">
        <v>997</v>
      </c>
      <c r="M13" s="323" t="str">
        <f>Output_Etapa1!$B$11</f>
        <v>Elétricos</v>
      </c>
      <c r="N13" s="324">
        <f>INDEX(Output_Etapa1!$B$5:$R$14,MATCH(M13,Output_Etapa1!$B$5:$B$14,0),MATCH(L13,Output_Etapa1!$B$5:$R$5,0))</f>
        <v>8.1555588293353853E-2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499.31881692245071</v>
      </c>
      <c r="K14" s="122"/>
      <c r="L14" s="321" t="s">
        <v>897</v>
      </c>
      <c r="M14" s="321"/>
      <c r="N14" s="284">
        <f>E6*((1+$N$13)^4)</f>
        <v>418.43058520912405</v>
      </c>
    </row>
    <row r="15" spans="1:14" x14ac:dyDescent="0.45">
      <c r="B15" s="168" t="s">
        <v>747</v>
      </c>
      <c r="C15" s="168"/>
      <c r="D15" s="6" t="s">
        <v>39</v>
      </c>
      <c r="E15" s="169">
        <f>C86</f>
        <v>6.398297210393171E-2</v>
      </c>
      <c r="F15" s="122"/>
      <c r="G15" s="122"/>
      <c r="H15" s="322" t="s">
        <v>874</v>
      </c>
      <c r="I15" s="322"/>
      <c r="J15" s="284">
        <f>E7*((1+$J$13)^4)</f>
        <v>1862.3110314893004</v>
      </c>
      <c r="K15" s="122"/>
      <c r="L15" s="322" t="s">
        <v>874</v>
      </c>
      <c r="M15" s="322"/>
      <c r="N15" s="284">
        <f>E7*((1+$N$13)^4)</f>
        <v>1560.6219279905499</v>
      </c>
    </row>
    <row r="16" spans="1:14" x14ac:dyDescent="0.45">
      <c r="B16" s="21" t="s">
        <v>232</v>
      </c>
      <c r="C16" s="21"/>
      <c r="D16" s="97"/>
      <c r="E16" s="284">
        <f>C87</f>
        <v>391.89231743208609</v>
      </c>
      <c r="F16" s="122"/>
      <c r="G16" s="122"/>
      <c r="H16" s="322" t="s">
        <v>903</v>
      </c>
      <c r="I16" s="322"/>
      <c r="J16" s="283">
        <f>E6*((1+$J$13)^7)</f>
        <v>721.25751784608747</v>
      </c>
      <c r="K16" s="122"/>
      <c r="L16" s="322" t="s">
        <v>903</v>
      </c>
      <c r="M16" s="322"/>
      <c r="N16" s="283">
        <f>E6*((1+$N$13)^7)</f>
        <v>529.38296085911179</v>
      </c>
    </row>
    <row r="17" spans="1:14" x14ac:dyDescent="0.45">
      <c r="B17" s="21" t="s">
        <v>874</v>
      </c>
      <c r="C17" s="21"/>
      <c r="D17" s="21"/>
      <c r="E17" s="284">
        <f>C88</f>
        <v>1461.6420634975389</v>
      </c>
      <c r="F17" s="122"/>
      <c r="G17" s="122"/>
      <c r="H17" s="322" t="s">
        <v>904</v>
      </c>
      <c r="I17" s="322"/>
      <c r="J17" s="283">
        <f>E7*((1+$J$13)^7)</f>
        <v>2690.0765332822884</v>
      </c>
      <c r="K17" s="122"/>
      <c r="L17" s="322" t="s">
        <v>904</v>
      </c>
      <c r="M17" s="322"/>
      <c r="N17" s="283">
        <f>E7*((1+$N$13)^7)</f>
        <v>1974.4413678756052</v>
      </c>
    </row>
    <row r="18" spans="1:14" x14ac:dyDescent="0.45">
      <c r="B18" s="21" t="s">
        <v>903</v>
      </c>
      <c r="C18" s="21"/>
      <c r="D18" s="21"/>
      <c r="E18" s="283">
        <f>$E$6*((1+$E$15)^7)</f>
        <v>472.03128398295388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1760.5366302589036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C94</f>
        <v>0.09</v>
      </c>
      <c r="F21" s="122"/>
      <c r="G21" s="122"/>
      <c r="H21" s="315" t="s">
        <v>910</v>
      </c>
      <c r="I21" s="323" t="str">
        <f>Output_Etapa1!$B$11</f>
        <v>Elétricos</v>
      </c>
      <c r="J21" s="324">
        <f>E5+INDEX(Output_Etapa1!$B$5:$R$14,MATCH(I21,Output_Etapa1!$B$5:$B$14,0),MATCH(H21,Output_Etapa1!$B$5:$R$5,0))</f>
        <v>2.2882129576379584E-2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C95</f>
        <v>431.65227194784836</v>
      </c>
      <c r="F22" s="122"/>
      <c r="G22" s="122"/>
      <c r="H22" s="321" t="s">
        <v>897</v>
      </c>
      <c r="I22" s="321"/>
      <c r="J22" s="284">
        <f>E6*((1+$J$21)^4)</f>
        <v>334.75756826008427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C96</f>
        <v>1609.9348964466262</v>
      </c>
      <c r="F23" s="122"/>
      <c r="G23" s="122"/>
      <c r="H23" s="322" t="s">
        <v>874</v>
      </c>
      <c r="I23" s="322"/>
      <c r="J23" s="284">
        <f>E7*((1+$J$21)^4)</f>
        <v>1248.5464018515277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559.00221008835024</v>
      </c>
      <c r="F24" s="122"/>
      <c r="G24" s="122"/>
      <c r="H24" s="322" t="s">
        <v>903</v>
      </c>
      <c r="I24" s="322"/>
      <c r="J24" s="283">
        <f>E6*((1+$J$21)^7)</f>
        <v>358.26730612408181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2084.9123790103781</v>
      </c>
      <c r="F25" s="122"/>
      <c r="G25" s="122"/>
      <c r="H25" s="322" t="s">
        <v>904</v>
      </c>
      <c r="I25" s="322"/>
      <c r="J25" s="283">
        <f>E7*((1+$J$21)^7)</f>
        <v>1336.2307483806594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ht="28.25" customHeight="1" x14ac:dyDescent="0.45">
      <c r="A32" s="24"/>
      <c r="B32" s="117" t="s">
        <v>704</v>
      </c>
      <c r="C32" s="115">
        <f>'Proporção Eq energia verde'!J11</f>
        <v>0.11927628738071673</v>
      </c>
      <c r="F32" s="86"/>
      <c r="G32" s="13"/>
    </row>
    <row r="33" spans="1:13" x14ac:dyDescent="0.45">
      <c r="A33" s="24"/>
      <c r="B33" s="116" t="s">
        <v>758</v>
      </c>
      <c r="C33" s="161">
        <f>'Cenario B benchmark va'!C10</f>
        <v>3.6601685303093427E-2</v>
      </c>
    </row>
    <row r="34" spans="1:13" x14ac:dyDescent="0.45">
      <c r="A34" s="24"/>
      <c r="B34" s="116" t="s">
        <v>744</v>
      </c>
      <c r="C34" s="161">
        <f>'Cenario B benchmark va'!D10</f>
        <v>5.1975400478689135E-2</v>
      </c>
    </row>
    <row r="35" spans="1:13" ht="28.25" customHeight="1" x14ac:dyDescent="0.45">
      <c r="A35" s="24"/>
      <c r="B35" s="117" t="s">
        <v>760</v>
      </c>
      <c r="C35" s="115">
        <v>0.09</v>
      </c>
      <c r="F35" s="86"/>
      <c r="G35" s="13"/>
    </row>
    <row r="36" spans="1:13" x14ac:dyDescent="0.45">
      <c r="A36" s="24"/>
      <c r="B36" s="116" t="s">
        <v>745</v>
      </c>
      <c r="C36" s="164" t="str">
        <f>IF(D57&lt;5%,"produto disruptivo", "produto representativo")</f>
        <v>produto disruptivo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790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45">
      <c r="A49" s="24"/>
      <c r="B49" s="106" t="s">
        <v>588</v>
      </c>
      <c r="C49" s="107">
        <v>18010027</v>
      </c>
      <c r="D49" s="107">
        <v>18095476</v>
      </c>
      <c r="E49" s="107">
        <v>19559480</v>
      </c>
      <c r="F49" s="107">
        <v>22516181</v>
      </c>
      <c r="G49" s="107">
        <v>24762143</v>
      </c>
      <c r="H49" s="107">
        <v>32956827</v>
      </c>
      <c r="I49" s="83">
        <f>C49*$C$28</f>
        <v>24534436.191821348</v>
      </c>
      <c r="K49" s="24"/>
      <c r="L49" s="24"/>
    </row>
    <row r="50" spans="1:13" x14ac:dyDescent="0.45">
      <c r="A50" s="24"/>
      <c r="B50" s="139" t="s">
        <v>589</v>
      </c>
      <c r="C50" s="140">
        <v>7654405</v>
      </c>
      <c r="D50" s="141">
        <v>7017896</v>
      </c>
      <c r="E50" s="141">
        <v>7785487</v>
      </c>
      <c r="F50" s="141">
        <v>9169745</v>
      </c>
      <c r="G50" s="141">
        <v>8840913</v>
      </c>
      <c r="H50" s="141">
        <v>12711638</v>
      </c>
      <c r="I50" s="87"/>
      <c r="K50" s="24"/>
      <c r="L50" s="24"/>
    </row>
    <row r="51" spans="1:13" x14ac:dyDescent="0.45">
      <c r="A51" s="24"/>
      <c r="B51" s="109" t="s">
        <v>705</v>
      </c>
      <c r="C51" s="113">
        <f>C50*$C$32</f>
        <v>912989.01050839503</v>
      </c>
      <c r="D51" s="113">
        <f t="shared" ref="D51:H51" si="0">D50*$C$32</f>
        <v>837068.58010398247</v>
      </c>
      <c r="E51" s="113">
        <f t="shared" si="0"/>
        <v>928623.98481083417</v>
      </c>
      <c r="F51" s="113">
        <f t="shared" si="0"/>
        <v>1093733.1398278903</v>
      </c>
      <c r="G51" s="113">
        <f t="shared" si="0"/>
        <v>1054511.2796959146</v>
      </c>
      <c r="H51" s="113">
        <f t="shared" si="0"/>
        <v>1516196.9871676392</v>
      </c>
      <c r="I51" s="11"/>
      <c r="K51" s="24"/>
      <c r="L51" s="24"/>
    </row>
    <row r="52" spans="1:13" x14ac:dyDescent="0.45">
      <c r="A52" s="24"/>
      <c r="C52" s="14"/>
      <c r="D52" s="14"/>
      <c r="E52" s="14"/>
      <c r="F52" s="14"/>
      <c r="G52" s="14"/>
      <c r="H52" s="24"/>
      <c r="I52" s="24"/>
      <c r="K52" s="24"/>
      <c r="L52" s="24"/>
    </row>
    <row r="53" spans="1:13" x14ac:dyDescent="0.45">
      <c r="A53" s="24"/>
      <c r="B53" s="75" t="s">
        <v>184</v>
      </c>
      <c r="C53" s="24"/>
      <c r="D53" s="24"/>
      <c r="E53" s="24"/>
      <c r="F53" s="24"/>
      <c r="G53" s="90"/>
      <c r="H53" s="24"/>
      <c r="I53" s="24"/>
      <c r="K53" s="24"/>
      <c r="L53" s="24"/>
    </row>
    <row r="54" spans="1:13" x14ac:dyDescent="0.45">
      <c r="A54" s="24"/>
      <c r="B54" s="170" t="s">
        <v>44</v>
      </c>
      <c r="C54" s="171" t="s">
        <v>43</v>
      </c>
      <c r="D54" s="171">
        <v>2021</v>
      </c>
      <c r="E54" s="171" t="s">
        <v>48</v>
      </c>
      <c r="F54" s="171" t="s">
        <v>39</v>
      </c>
      <c r="G54" s="90"/>
      <c r="I54" s="90"/>
      <c r="J54" s="24"/>
      <c r="K54" s="24"/>
    </row>
    <row r="55" spans="1:13" x14ac:dyDescent="0.45">
      <c r="A55" s="24"/>
      <c r="B55" s="22" t="s">
        <v>706</v>
      </c>
      <c r="C55" s="84">
        <f>C49*$C$31*$C$30/1000</f>
        <v>5899.0242859891723</v>
      </c>
      <c r="D55" s="84">
        <f>H49*$C$29/1000</f>
        <v>6261.7971299999999</v>
      </c>
      <c r="E55" s="94">
        <f>D55-C55</f>
        <v>362.77284401082761</v>
      </c>
      <c r="F55" s="95">
        <f>(D55/C55)^(1/5)-1</f>
        <v>1.2007571625242575E-2</v>
      </c>
      <c r="G55" s="90"/>
      <c r="H55" s="90"/>
      <c r="I55" s="90"/>
      <c r="J55" s="14"/>
      <c r="M55" s="14"/>
    </row>
    <row r="56" spans="1:13" x14ac:dyDescent="0.45">
      <c r="A56" s="24"/>
      <c r="B56" s="109" t="s">
        <v>705</v>
      </c>
      <c r="C56" s="84">
        <f>C51*$C$31*$C$30/1000</f>
        <v>299.0414365192371</v>
      </c>
      <c r="D56" s="84">
        <f>H51*$C$29/1000</f>
        <v>288.07742756185144</v>
      </c>
      <c r="E56" s="94">
        <f>D56-C56</f>
        <v>-10.964008957385659</v>
      </c>
      <c r="F56" s="96">
        <f>(D56/C56)^(1/5)-1</f>
        <v>-7.4427361910137657E-3</v>
      </c>
      <c r="G56" s="24"/>
      <c r="H56" s="24"/>
      <c r="I56" s="14"/>
      <c r="J56" s="14"/>
      <c r="M56" s="14"/>
    </row>
    <row r="57" spans="1:13" x14ac:dyDescent="0.45">
      <c r="A57" s="24"/>
      <c r="C57" s="131">
        <f>C56/C55</f>
        <v>5.0693372670035146E-2</v>
      </c>
      <c r="D57" s="131">
        <f>D56/D55</f>
        <v>4.6005551055252961E-2</v>
      </c>
      <c r="E57" s="14"/>
      <c r="F57" s="14"/>
      <c r="G57" s="14"/>
      <c r="H57" s="14"/>
      <c r="I57" s="14"/>
      <c r="J57" s="14"/>
      <c r="M57" s="14"/>
    </row>
    <row r="58" spans="1:13" x14ac:dyDescent="0.45">
      <c r="A58" s="24"/>
      <c r="D58" s="131"/>
      <c r="E58" s="14"/>
      <c r="F58" s="14"/>
      <c r="G58" s="14"/>
      <c r="H58" s="14"/>
      <c r="I58" s="14"/>
      <c r="J58" s="14"/>
      <c r="M58" s="14"/>
    </row>
    <row r="59" spans="1:13" x14ac:dyDescent="0.45">
      <c r="A59" s="24" t="s">
        <v>50</v>
      </c>
      <c r="B59" s="74" t="s">
        <v>786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45">
      <c r="A60" s="24"/>
      <c r="B60" s="75" t="s">
        <v>783</v>
      </c>
      <c r="C60" s="127"/>
      <c r="D60" s="127"/>
      <c r="E60" s="127"/>
      <c r="F60" s="127"/>
      <c r="G60" s="127"/>
      <c r="H60" s="127"/>
      <c r="I60" s="124"/>
      <c r="J60" s="24"/>
      <c r="K60" s="24"/>
    </row>
    <row r="61" spans="1:13" x14ac:dyDescent="0.45">
      <c r="A61" s="24"/>
      <c r="B61" s="20" t="s">
        <v>44</v>
      </c>
      <c r="C61" s="25">
        <v>2016</v>
      </c>
      <c r="D61" s="25">
        <v>2017</v>
      </c>
      <c r="E61" s="25">
        <v>2018</v>
      </c>
      <c r="F61" s="25">
        <v>2019</v>
      </c>
      <c r="G61" s="25">
        <v>2020</v>
      </c>
      <c r="H61" s="25">
        <v>2021</v>
      </c>
      <c r="J61" s="183" t="s">
        <v>782</v>
      </c>
      <c r="K61" s="24"/>
    </row>
    <row r="62" spans="1:13" x14ac:dyDescent="0.45">
      <c r="A62" s="24"/>
      <c r="B62" s="106" t="s">
        <v>588</v>
      </c>
      <c r="C62" s="78">
        <f>VLOOKUP($B62,'Dados IBGE - VPB'!$A$4:$G$423,2,FALSE)</f>
        <v>65129170</v>
      </c>
      <c r="D62" s="78">
        <f>VLOOKUP($B62,'Dados IBGE - VPB'!$A$4:$G$423,3,FALSE)</f>
        <v>67514053</v>
      </c>
      <c r="E62" s="78">
        <f>VLOOKUP($B62,'Dados IBGE - VPB'!$A$4:$G$423,4,FALSE)</f>
        <v>73356802</v>
      </c>
      <c r="F62" s="78">
        <f>VLOOKUP($B62,'Dados IBGE - VPB'!$A$4:$G$423,5,FALSE)</f>
        <v>82720868</v>
      </c>
      <c r="G62" s="78">
        <f>VLOOKUP($B62,'Dados IBGE - VPB'!$A$4:$G$423,6,FALSE)</f>
        <v>96450581</v>
      </c>
      <c r="H62" s="78">
        <f>VLOOKUP($B62,'Dados IBGE - VPB'!$A$4:$G$423,7,FALSE)</f>
        <v>133078554</v>
      </c>
      <c r="J62" s="11">
        <f t="shared" ref="J62:J63" si="1">H62*$C$29/1000</f>
        <v>25284.92526</v>
      </c>
      <c r="K62" s="24"/>
    </row>
    <row r="63" spans="1:13" x14ac:dyDescent="0.45">
      <c r="A63" s="24"/>
      <c r="B63" s="139" t="s">
        <v>589</v>
      </c>
      <c r="C63" s="186">
        <f>VLOOKUP($B63,'Dados IBGE - VPB'!$A$4:$G$423,2,FALSE)</f>
        <v>21573452</v>
      </c>
      <c r="D63" s="186">
        <f>VLOOKUP($B63,'Dados IBGE - VPB'!$A$4:$G$423,3,FALSE)</f>
        <v>21711213</v>
      </c>
      <c r="E63" s="186">
        <f>VLOOKUP($B63,'Dados IBGE - VPB'!$A$4:$G$423,4,FALSE)</f>
        <v>23990010</v>
      </c>
      <c r="F63" s="186">
        <f>VLOOKUP($B63,'Dados IBGE - VPB'!$A$4:$G$423,5,FALSE)</f>
        <v>28680472</v>
      </c>
      <c r="G63" s="186">
        <f>VLOOKUP($B63,'Dados IBGE - VPB'!$A$4:$G$423,6,FALSE)</f>
        <v>33582827</v>
      </c>
      <c r="H63" s="186">
        <f>VLOOKUP($B63,'Dados IBGE - VPB'!$A$4:$G$423,7,FALSE)</f>
        <v>47410638</v>
      </c>
      <c r="J63" s="11">
        <f t="shared" si="1"/>
        <v>9008.0212200000005</v>
      </c>
      <c r="K63" s="24"/>
    </row>
    <row r="64" spans="1:13" x14ac:dyDescent="0.45">
      <c r="A64" s="24"/>
      <c r="B64" s="109" t="s">
        <v>705</v>
      </c>
      <c r="C64" s="113">
        <f>C63*$C$32</f>
        <v>2573201.260546098</v>
      </c>
      <c r="D64" s="113">
        <f t="shared" ref="D64:H64" si="2">D63*$C$32</f>
        <v>2589632.8811719529</v>
      </c>
      <c r="E64" s="113">
        <f t="shared" si="2"/>
        <v>2861439.327026268</v>
      </c>
      <c r="F64" s="113">
        <f t="shared" si="2"/>
        <v>3420900.2204865995</v>
      </c>
      <c r="G64" s="113">
        <f t="shared" si="2"/>
        <v>4005634.9243088933</v>
      </c>
      <c r="H64" s="113">
        <f t="shared" si="2"/>
        <v>5654964.8829911295</v>
      </c>
      <c r="J64" s="187">
        <f>H64*$C$29/1000</f>
        <v>1074.4433277683147</v>
      </c>
      <c r="K64" s="24"/>
    </row>
    <row r="65" spans="1:13" x14ac:dyDescent="0.45">
      <c r="A65" s="24"/>
      <c r="B65" s="109"/>
      <c r="C65" s="130"/>
      <c r="D65" s="130"/>
      <c r="E65" s="130"/>
      <c r="F65" s="130"/>
      <c r="G65" s="130"/>
      <c r="H65" s="130"/>
      <c r="I65" s="11"/>
      <c r="J65" s="182"/>
      <c r="K65" s="24"/>
    </row>
    <row r="66" spans="1:13" x14ac:dyDescent="0.45">
      <c r="A66" s="24" t="s">
        <v>784</v>
      </c>
      <c r="B66" s="21" t="s">
        <v>877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3" x14ac:dyDescent="0.45">
      <c r="B67" s="73" t="s">
        <v>229</v>
      </c>
    </row>
    <row r="68" spans="1:13" x14ac:dyDescent="0.45">
      <c r="B68" s="73"/>
    </row>
    <row r="69" spans="1:13" x14ac:dyDescent="0.45">
      <c r="B69" t="s">
        <v>817</v>
      </c>
      <c r="C69">
        <f>2026-2021</f>
        <v>5</v>
      </c>
    </row>
    <row r="70" spans="1:13" x14ac:dyDescent="0.45">
      <c r="B70" t="s">
        <v>818</v>
      </c>
      <c r="C70">
        <f>2030-2026</f>
        <v>4</v>
      </c>
    </row>
    <row r="71" spans="1:13" x14ac:dyDescent="0.45">
      <c r="B71" s="73"/>
    </row>
    <row r="72" spans="1:13" x14ac:dyDescent="0.45">
      <c r="B72" s="1" t="s">
        <v>858</v>
      </c>
    </row>
    <row r="73" spans="1:13" x14ac:dyDescent="0.45">
      <c r="B73" s="270" t="s">
        <v>852</v>
      </c>
      <c r="C73" s="271"/>
      <c r="D73" s="271"/>
      <c r="E73" s="271"/>
    </row>
    <row r="74" spans="1:13" x14ac:dyDescent="0.45">
      <c r="B74" s="23" t="s">
        <v>862</v>
      </c>
      <c r="C74" s="144">
        <f>F55</f>
        <v>1.2007571625242575E-2</v>
      </c>
      <c r="D74" s="85"/>
    </row>
    <row r="75" spans="1:13" x14ac:dyDescent="0.45">
      <c r="B75" s="23" t="s">
        <v>863</v>
      </c>
      <c r="C75" s="87">
        <f>D56*((1+C74)^C69)</f>
        <v>305.79335186142606</v>
      </c>
      <c r="D75" s="98"/>
      <c r="E75" s="98"/>
    </row>
    <row r="76" spans="1:13" x14ac:dyDescent="0.45">
      <c r="B76" s="23" t="s">
        <v>864</v>
      </c>
      <c r="C76" s="178">
        <f>J64*((1+C74)^C69)</f>
        <v>1140.5184688164263</v>
      </c>
      <c r="D76" s="85"/>
    </row>
    <row r="77" spans="1:13" x14ac:dyDescent="0.45">
      <c r="B77" s="23"/>
      <c r="C77" s="178"/>
      <c r="D77" s="85"/>
    </row>
    <row r="78" spans="1:13" x14ac:dyDescent="0.45">
      <c r="B78" s="1" t="s">
        <v>859</v>
      </c>
    </row>
    <row r="79" spans="1:13" x14ac:dyDescent="0.45">
      <c r="B79" s="270" t="s">
        <v>852</v>
      </c>
      <c r="C79" s="271"/>
      <c r="D79" s="271"/>
      <c r="E79" s="271"/>
    </row>
    <row r="80" spans="1:13" x14ac:dyDescent="0.45">
      <c r="B80" s="23" t="s">
        <v>862</v>
      </c>
      <c r="C80" s="144">
        <f>C74</f>
        <v>1.2007571625242575E-2</v>
      </c>
      <c r="D80" s="85"/>
    </row>
    <row r="81" spans="2:5" x14ac:dyDescent="0.45">
      <c r="B81" s="23" t="s">
        <v>880</v>
      </c>
      <c r="C81" s="87">
        <f>C75*((1+C80)^C70)</f>
        <v>320.74735713745207</v>
      </c>
      <c r="D81" s="98"/>
      <c r="E81" s="98"/>
    </row>
    <row r="82" spans="2:5" x14ac:dyDescent="0.45">
      <c r="B82" s="23" t="s">
        <v>881</v>
      </c>
      <c r="C82" s="178">
        <f>C76*((1+C80)^C70)</f>
        <v>1196.2924714108804</v>
      </c>
      <c r="D82" s="85"/>
    </row>
    <row r="83" spans="2:5" x14ac:dyDescent="0.45">
      <c r="B83" s="23"/>
      <c r="C83" s="178"/>
      <c r="D83" s="85"/>
    </row>
    <row r="84" spans="2:5" x14ac:dyDescent="0.45">
      <c r="B84" s="1" t="s">
        <v>860</v>
      </c>
    </row>
    <row r="85" spans="2:5" x14ac:dyDescent="0.45">
      <c r="B85" s="270" t="s">
        <v>865</v>
      </c>
      <c r="C85" s="271"/>
      <c r="D85" s="271"/>
      <c r="E85" s="271"/>
    </row>
    <row r="86" spans="2:5" x14ac:dyDescent="0.45">
      <c r="B86" s="23" t="s">
        <v>866</v>
      </c>
      <c r="C86" s="144">
        <f>C74+C34</f>
        <v>6.398297210393171E-2</v>
      </c>
      <c r="D86" s="85"/>
    </row>
    <row r="87" spans="2:5" ht="17" customHeight="1" x14ac:dyDescent="0.45">
      <c r="B87" s="23" t="s">
        <v>880</v>
      </c>
      <c r="C87" s="248">
        <f>C75*((1+C86)^C70)</f>
        <v>391.89231743208609</v>
      </c>
      <c r="D87" s="98"/>
      <c r="E87" s="98"/>
    </row>
    <row r="88" spans="2:5" ht="17" customHeight="1" x14ac:dyDescent="0.45">
      <c r="B88" s="23" t="s">
        <v>881</v>
      </c>
      <c r="C88" s="178">
        <f>C76*((1+C86)^C70)</f>
        <v>1461.6420634975389</v>
      </c>
      <c r="D88" s="85"/>
    </row>
    <row r="89" spans="2:5" ht="17" customHeight="1" x14ac:dyDescent="0.45"/>
    <row r="90" spans="2:5" ht="17" customHeight="1" x14ac:dyDescent="0.45">
      <c r="B90" s="274" t="s">
        <v>849</v>
      </c>
      <c r="C90" s="274" t="str">
        <f>C36</f>
        <v>produto disruptivo</v>
      </c>
    </row>
    <row r="91" spans="2:5" ht="17" customHeight="1" x14ac:dyDescent="0.45"/>
    <row r="92" spans="2:5" x14ac:dyDescent="0.45">
      <c r="B92" s="1" t="s">
        <v>861</v>
      </c>
    </row>
    <row r="93" spans="2:5" x14ac:dyDescent="0.45">
      <c r="B93" s="270" t="s">
        <v>882</v>
      </c>
      <c r="C93" s="271"/>
      <c r="D93" s="271"/>
      <c r="E93" s="271"/>
    </row>
    <row r="94" spans="2:5" ht="17" customHeight="1" x14ac:dyDescent="0.45">
      <c r="B94" s="23" t="s">
        <v>917</v>
      </c>
      <c r="C94" s="144">
        <f>IF(AND((C90="produto disruptivo"),(C35&gt;(C74+C34))),C35,(C74+C34))</f>
        <v>0.09</v>
      </c>
      <c r="D94" s="85"/>
    </row>
    <row r="95" spans="2:5" ht="17" customHeight="1" x14ac:dyDescent="0.45">
      <c r="B95" s="23" t="s">
        <v>880</v>
      </c>
      <c r="C95" s="248">
        <f>C75*((1+C94)^C70)</f>
        <v>431.65227194784836</v>
      </c>
      <c r="D95" s="282"/>
    </row>
    <row r="96" spans="2:5" ht="17" customHeight="1" x14ac:dyDescent="0.45">
      <c r="B96" s="23" t="s">
        <v>881</v>
      </c>
      <c r="C96" s="178">
        <f>C76*((1+C94)^C70)</f>
        <v>1609.9348964466262</v>
      </c>
      <c r="D96" s="282"/>
      <c r="E96" s="1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A8A7-D440-43F0-9CCB-0DE55BF8C3DA}">
  <dimension ref="A1:H34"/>
  <sheetViews>
    <sheetView showGridLines="0" zoomScale="115" zoomScaleNormal="115" workbookViewId="0"/>
  </sheetViews>
  <sheetFormatPr defaultRowHeight="14.25" x14ac:dyDescent="0.45"/>
  <cols>
    <col min="2" max="2" width="25.1328125" customWidth="1"/>
    <col min="3" max="3" width="21" customWidth="1"/>
    <col min="4" max="4" width="19" bestFit="1" customWidth="1"/>
  </cols>
  <sheetData>
    <row r="1" spans="1:7" s="69" customFormat="1" ht="22.25" customHeight="1" thickBot="1" x14ac:dyDescent="0.6">
      <c r="A1" s="70" t="s">
        <v>804</v>
      </c>
    </row>
    <row r="2" spans="1:7" x14ac:dyDescent="0.45">
      <c r="A2" s="73" t="s">
        <v>787</v>
      </c>
    </row>
    <row r="4" spans="1:7" x14ac:dyDescent="0.45">
      <c r="A4" s="24" t="s">
        <v>51</v>
      </c>
      <c r="B4" s="21" t="s">
        <v>52</v>
      </c>
      <c r="C4" s="21"/>
      <c r="D4" s="21"/>
      <c r="E4" s="21"/>
      <c r="F4" s="21"/>
      <c r="G4" s="21"/>
    </row>
    <row r="5" spans="1:7" s="122" customFormat="1" x14ac:dyDescent="0.45">
      <c r="A5" s="120"/>
      <c r="B5" s="286" t="s">
        <v>945</v>
      </c>
      <c r="C5" s="287"/>
      <c r="D5" s="287"/>
      <c r="E5" s="287"/>
      <c r="F5" s="287"/>
      <c r="G5" s="287"/>
    </row>
    <row r="7" spans="1:7" x14ac:dyDescent="0.45">
      <c r="B7" s="76" t="s">
        <v>1007</v>
      </c>
      <c r="C7" s="238" t="s">
        <v>942</v>
      </c>
      <c r="D7" s="172"/>
      <c r="E7" s="172"/>
      <c r="F7" s="172"/>
      <c r="G7" s="172"/>
    </row>
    <row r="8" spans="1:7" x14ac:dyDescent="0.45">
      <c r="B8" s="21" t="s">
        <v>777</v>
      </c>
      <c r="C8" s="175">
        <f>C30</f>
        <v>1000</v>
      </c>
    </row>
    <row r="9" spans="1:7" x14ac:dyDescent="0.45">
      <c r="B9" s="21" t="s">
        <v>1006</v>
      </c>
      <c r="C9" s="366">
        <f>C33</f>
        <v>1399.016476229016</v>
      </c>
    </row>
    <row r="10" spans="1:7" x14ac:dyDescent="0.45">
      <c r="B10" s="21" t="s">
        <v>1042</v>
      </c>
      <c r="C10" s="402">
        <f>$F$25*C8</f>
        <v>850</v>
      </c>
    </row>
    <row r="11" spans="1:7" x14ac:dyDescent="0.45">
      <c r="B11" s="21" t="s">
        <v>1043</v>
      </c>
      <c r="C11" s="402">
        <f>$F$25*C9</f>
        <v>1189.1640047946635</v>
      </c>
    </row>
    <row r="13" spans="1:7" x14ac:dyDescent="0.45">
      <c r="B13" s="168" t="s">
        <v>747</v>
      </c>
      <c r="C13" s="237" t="s">
        <v>943</v>
      </c>
      <c r="D13" s="169"/>
      <c r="E13" s="169"/>
      <c r="F13" s="169"/>
      <c r="G13" s="169"/>
    </row>
    <row r="14" spans="1:7" x14ac:dyDescent="0.45">
      <c r="B14" s="21" t="s">
        <v>777</v>
      </c>
      <c r="C14" s="175">
        <f>SUM(C30:C31)</f>
        <v>2200</v>
      </c>
    </row>
    <row r="15" spans="1:7" x14ac:dyDescent="0.45">
      <c r="B15" s="21" t="s">
        <v>1006</v>
      </c>
      <c r="C15" s="175">
        <f>SUM(C33:C34)</f>
        <v>3077.8362477038354</v>
      </c>
    </row>
    <row r="16" spans="1:7" x14ac:dyDescent="0.45">
      <c r="B16" s="21" t="s">
        <v>1042</v>
      </c>
      <c r="C16" s="402">
        <f>$F$25*C14</f>
        <v>1870</v>
      </c>
    </row>
    <row r="17" spans="1:8" x14ac:dyDescent="0.45">
      <c r="B17" s="21" t="s">
        <v>1043</v>
      </c>
      <c r="C17" s="402">
        <f>$F$25*C15</f>
        <v>2616.1608105482601</v>
      </c>
    </row>
    <row r="19" spans="1:8" x14ac:dyDescent="0.45">
      <c r="B19" s="89" t="s">
        <v>185</v>
      </c>
      <c r="C19" s="236" t="s">
        <v>944</v>
      </c>
      <c r="D19" s="88"/>
      <c r="E19" s="88"/>
      <c r="F19" s="88"/>
      <c r="G19" s="88"/>
    </row>
    <row r="20" spans="1:8" x14ac:dyDescent="0.45">
      <c r="B20" s="21" t="s">
        <v>777</v>
      </c>
      <c r="C20" s="175">
        <f>SUM(D30:D31)</f>
        <v>4000</v>
      </c>
    </row>
    <row r="21" spans="1:8" x14ac:dyDescent="0.45">
      <c r="B21" s="21" t="s">
        <v>1006</v>
      </c>
      <c r="C21" s="175">
        <f>SUM(D33:D34)</f>
        <v>5596.065904916064</v>
      </c>
    </row>
    <row r="22" spans="1:8" x14ac:dyDescent="0.45">
      <c r="B22" s="21" t="s">
        <v>1042</v>
      </c>
      <c r="C22" s="402">
        <f>$F$25*C20</f>
        <v>3400</v>
      </c>
    </row>
    <row r="23" spans="1:8" x14ac:dyDescent="0.45">
      <c r="B23" s="21" t="s">
        <v>1043</v>
      </c>
      <c r="C23" s="402">
        <f>$F$25*C21</f>
        <v>4756.6560191786539</v>
      </c>
    </row>
    <row r="25" spans="1:8" x14ac:dyDescent="0.45">
      <c r="B25" t="s">
        <v>1040</v>
      </c>
      <c r="F25" s="401">
        <v>0.85</v>
      </c>
      <c r="G25" s="400" t="s">
        <v>1041</v>
      </c>
    </row>
    <row r="27" spans="1:8" x14ac:dyDescent="0.45">
      <c r="A27" s="24" t="s">
        <v>49</v>
      </c>
      <c r="B27" s="21" t="s">
        <v>1025</v>
      </c>
      <c r="C27" s="21"/>
      <c r="D27" s="21"/>
      <c r="E27" s="21"/>
      <c r="F27" s="21"/>
      <c r="G27" s="21"/>
    </row>
    <row r="29" spans="1:8" x14ac:dyDescent="0.45">
      <c r="B29" s="20" t="s">
        <v>810</v>
      </c>
      <c r="C29" s="239" t="s">
        <v>812</v>
      </c>
      <c r="D29" s="239" t="s">
        <v>811</v>
      </c>
    </row>
    <row r="30" spans="1:8" x14ac:dyDescent="0.45">
      <c r="B30" s="106" t="s">
        <v>1010</v>
      </c>
      <c r="C30" s="107">
        <v>1000</v>
      </c>
      <c r="D30" s="107">
        <v>2000</v>
      </c>
      <c r="F30" t="s">
        <v>39</v>
      </c>
      <c r="G30" s="369">
        <f>(C32/C31)^(1/5)-1</f>
        <v>0.11842691472014466</v>
      </c>
      <c r="H30" s="14"/>
    </row>
    <row r="31" spans="1:8" x14ac:dyDescent="0.45">
      <c r="B31" s="106" t="s">
        <v>1011</v>
      </c>
      <c r="C31" s="107">
        <v>1200</v>
      </c>
      <c r="D31" s="107">
        <v>2000</v>
      </c>
    </row>
    <row r="32" spans="1:8" x14ac:dyDescent="0.45">
      <c r="B32" s="106" t="s">
        <v>1013</v>
      </c>
      <c r="C32" s="107">
        <v>2100</v>
      </c>
      <c r="D32" s="107">
        <v>3500</v>
      </c>
    </row>
    <row r="33" spans="2:4" x14ac:dyDescent="0.45">
      <c r="B33" s="368" t="s">
        <v>1012</v>
      </c>
      <c r="C33" s="12">
        <f>C30*((1+$G$30)^3)</f>
        <v>1399.016476229016</v>
      </c>
      <c r="D33" s="12">
        <f>D30*((1+$G$30)^3)</f>
        <v>2798.032952458032</v>
      </c>
    </row>
    <row r="34" spans="2:4" x14ac:dyDescent="0.45">
      <c r="B34" s="368" t="s">
        <v>1014</v>
      </c>
      <c r="C34" s="12">
        <f>C31*((1+$G$30)^3)</f>
        <v>1678.8197714748192</v>
      </c>
      <c r="D34" s="12">
        <f>D31*((1+$G$30)^3)</f>
        <v>2798.032952458032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2E6-6864-421E-8E58-7102BCD06777}">
  <dimension ref="A1:N96"/>
  <sheetViews>
    <sheetView showGridLines="0" zoomScale="71" zoomScaleNormal="110" workbookViewId="0"/>
  </sheetViews>
  <sheetFormatPr defaultColWidth="8.86328125"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8" width="16" customWidth="1"/>
    <col min="9" max="9" width="14.6640625" customWidth="1"/>
    <col min="10" max="10" width="18.33203125" customWidth="1"/>
    <col min="11" max="12" width="16.53125" customWidth="1"/>
    <col min="13" max="13" width="15.1328125" customWidth="1"/>
  </cols>
  <sheetData>
    <row r="1" spans="1:14" s="69" customFormat="1" ht="22.25" customHeight="1" thickBot="1" x14ac:dyDescent="0.6">
      <c r="A1" s="70" t="s">
        <v>678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  <c r="L4" s="326" t="s">
        <v>1032</v>
      </c>
      <c r="M4" s="327"/>
      <c r="N4" s="327"/>
    </row>
    <row r="5" spans="1:14" x14ac:dyDescent="0.45">
      <c r="B5" s="242" t="s">
        <v>875</v>
      </c>
      <c r="C5" s="242"/>
      <c r="D5" s="243" t="s">
        <v>39</v>
      </c>
      <c r="E5" s="244">
        <f>C74</f>
        <v>0</v>
      </c>
      <c r="F5" s="122"/>
      <c r="G5" s="122"/>
      <c r="H5" s="315" t="s">
        <v>908</v>
      </c>
      <c r="I5" s="323" t="str">
        <f>Output_Etapa1!$B$13</f>
        <v xml:space="preserve">Outros transportes </v>
      </c>
      <c r="J5" s="324">
        <f>E5+INDEX(Output_Etapa1!$B$5:$R$14,MATCH(I5,Output_Etapa1!$B$5:$B$14,0),MATCH(H5,Output_Etapa1!$B$5:$R$5,0))</f>
        <v>1.770333430742177E-2</v>
      </c>
      <c r="K5" s="122"/>
      <c r="L5" s="315" t="s">
        <v>911</v>
      </c>
      <c r="M5" s="323" t="str">
        <f>Output_Etapa1!$B$13</f>
        <v xml:space="preserve">Outros transportes </v>
      </c>
      <c r="N5" s="324" t="e">
        <f>E5+INDEX(Output_Etapa1!$B$5:$R$14,MATCH(M5,Output_Etapa1!$B$5:$B$14,0),MATCH(L5,Output_Etapa1!$B$5:$R$5,0))</f>
        <v>#N/A</v>
      </c>
    </row>
    <row r="6" spans="1:14" x14ac:dyDescent="0.45">
      <c r="B6" s="21" t="s">
        <v>816</v>
      </c>
      <c r="C6" s="21"/>
      <c r="D6" s="21"/>
      <c r="E6" s="283">
        <f>C75</f>
        <v>6.6297807387950822</v>
      </c>
      <c r="F6" s="122"/>
      <c r="G6" s="122"/>
      <c r="H6" s="321" t="s">
        <v>897</v>
      </c>
      <c r="I6" s="321"/>
      <c r="J6" s="284">
        <f>E6*((1+$J$5)^4)</f>
        <v>7.1118723867999094</v>
      </c>
      <c r="K6" s="122"/>
      <c r="L6" s="321" t="s">
        <v>897</v>
      </c>
      <c r="M6" s="321"/>
      <c r="N6" s="284" t="e">
        <f>E6*((1+$N$5)^4)</f>
        <v>#N/A</v>
      </c>
    </row>
    <row r="7" spans="1:14" x14ac:dyDescent="0.45">
      <c r="B7" s="21" t="s">
        <v>873</v>
      </c>
      <c r="C7" s="21"/>
      <c r="D7" s="21"/>
      <c r="E7" s="283">
        <f>C76</f>
        <v>32.155497268018344</v>
      </c>
      <c r="F7" s="122"/>
      <c r="G7" s="122"/>
      <c r="H7" s="322" t="s">
        <v>874</v>
      </c>
      <c r="I7" s="322"/>
      <c r="J7" s="284">
        <f>E7*((1+$J$5)^4)</f>
        <v>34.493718889684075</v>
      </c>
      <c r="K7" s="122"/>
      <c r="L7" s="322" t="s">
        <v>874</v>
      </c>
      <c r="M7" s="322"/>
      <c r="N7" s="284" t="e">
        <f>E7*((1+$N$5)^4)</f>
        <v>#N/A</v>
      </c>
    </row>
    <row r="8" spans="1:14" x14ac:dyDescent="0.45">
      <c r="F8" s="122"/>
      <c r="G8" s="122"/>
      <c r="H8" s="322" t="s">
        <v>903</v>
      </c>
      <c r="I8" s="322"/>
      <c r="J8" s="283">
        <f>E6*((1+$J$5)^7)</f>
        <v>7.4963101634024962</v>
      </c>
      <c r="K8" s="122"/>
      <c r="L8" s="322" t="s">
        <v>903</v>
      </c>
      <c r="M8" s="322"/>
      <c r="N8" s="283" t="e">
        <f>E6*((1+$N$5)^7)</f>
        <v>#N/A</v>
      </c>
    </row>
    <row r="9" spans="1:14" x14ac:dyDescent="0.45">
      <c r="B9" s="76" t="s">
        <v>832</v>
      </c>
      <c r="C9" s="76"/>
      <c r="D9" s="7" t="s">
        <v>39</v>
      </c>
      <c r="E9" s="172">
        <f>C80</f>
        <v>0</v>
      </c>
      <c r="F9" s="122"/>
      <c r="G9" s="122"/>
      <c r="H9" s="322" t="s">
        <v>904</v>
      </c>
      <c r="I9" s="322"/>
      <c r="J9" s="283">
        <f>E7*((1+$J$5)^7)</f>
        <v>36.358303611608711</v>
      </c>
      <c r="K9" s="122"/>
      <c r="L9" s="322" t="s">
        <v>904</v>
      </c>
      <c r="M9" s="322"/>
      <c r="N9" s="283" t="e">
        <f>E7*((1+$N$5)^7)</f>
        <v>#N/A</v>
      </c>
    </row>
    <row r="10" spans="1:14" x14ac:dyDescent="0.45">
      <c r="B10" s="21" t="s">
        <v>232</v>
      </c>
      <c r="C10" s="21"/>
      <c r="D10" s="21"/>
      <c r="E10" s="283">
        <f>C81</f>
        <v>6.6297807387950822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C82</f>
        <v>32.155497268018344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6.6297807387950822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32.155497268018344</v>
      </c>
      <c r="F13" s="122"/>
      <c r="G13" s="122"/>
      <c r="H13" s="315" t="s">
        <v>909</v>
      </c>
      <c r="I13" s="323" t="str">
        <f>Output_Etapa1!$B$13</f>
        <v xml:space="preserve">Outros transportes </v>
      </c>
      <c r="J13" s="324">
        <f>E5+INDEX(Output_Etapa1!$B$5:$R$14,MATCH(I13,Output_Etapa1!$B$5:$B$14,0),MATCH(H13,Output_Etapa1!$B$5:$R$5,0))</f>
        <v>0.10751861101708293</v>
      </c>
      <c r="K13" s="122"/>
      <c r="L13" s="315" t="s">
        <v>997</v>
      </c>
      <c r="M13" s="323" t="str">
        <f>Output_Etapa1!$B$13</f>
        <v xml:space="preserve">Outros transportes </v>
      </c>
      <c r="N13" s="324">
        <f>INDEX(Output_Etapa1!$B$5:$R$14,MATCH(M13,Output_Etapa1!$B$5:$B$14,0),MATCH(L13,Output_Etapa1!$B$5:$R$5,0))</f>
        <v>5.2592974082459554E-2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9.9747793465386323</v>
      </c>
      <c r="K14" s="122"/>
      <c r="L14" s="321" t="s">
        <v>897</v>
      </c>
      <c r="M14" s="321"/>
      <c r="N14" s="284">
        <f>E6*((1+$N$13)^4)</f>
        <v>8.1384375055390752</v>
      </c>
    </row>
    <row r="15" spans="1:14" x14ac:dyDescent="0.45">
      <c r="B15" s="168" t="s">
        <v>747</v>
      </c>
      <c r="C15" s="168"/>
      <c r="D15" s="6" t="s">
        <v>39</v>
      </c>
      <c r="E15" s="169">
        <f>C86</f>
        <v>5.9615211794127675E-2</v>
      </c>
      <c r="F15" s="122"/>
      <c r="G15" s="122"/>
      <c r="H15" s="322" t="s">
        <v>874</v>
      </c>
      <c r="I15" s="322"/>
      <c r="J15" s="284">
        <f>E7*((1+$J$13)^4)</f>
        <v>48.379275674960233</v>
      </c>
      <c r="K15" s="122"/>
      <c r="L15" s="322" t="s">
        <v>874</v>
      </c>
      <c r="M15" s="322"/>
      <c r="N15" s="284">
        <f>E7*((1+$N$13)^4)</f>
        <v>39.47272395359203</v>
      </c>
    </row>
    <row r="16" spans="1:14" x14ac:dyDescent="0.45">
      <c r="B16" s="21" t="s">
        <v>232</v>
      </c>
      <c r="C16" s="21"/>
      <c r="D16" s="97"/>
      <c r="E16" s="284">
        <f>C87</f>
        <v>8.3577986287093733</v>
      </c>
      <c r="F16" s="122"/>
      <c r="G16" s="122"/>
      <c r="H16" s="322" t="s">
        <v>903</v>
      </c>
      <c r="I16" s="322"/>
      <c r="J16" s="283">
        <f>E6*((1+$J$13)^7)</f>
        <v>13.550533562567189</v>
      </c>
      <c r="K16" s="122"/>
      <c r="L16" s="322" t="s">
        <v>903</v>
      </c>
      <c r="M16" s="322"/>
      <c r="N16" s="283">
        <f>E6*((1+$N$13)^7)</f>
        <v>9.4912285942890886</v>
      </c>
    </row>
    <row r="17" spans="1:14" x14ac:dyDescent="0.45">
      <c r="B17" s="21" t="s">
        <v>874</v>
      </c>
      <c r="C17" s="21"/>
      <c r="D17" s="21"/>
      <c r="E17" s="284">
        <f>C88</f>
        <v>40.536660496098861</v>
      </c>
      <c r="F17" s="122"/>
      <c r="G17" s="122"/>
      <c r="H17" s="322" t="s">
        <v>904</v>
      </c>
      <c r="I17" s="322"/>
      <c r="J17" s="283">
        <f>E7*((1+$J$13)^7)</f>
        <v>65.722255700195305</v>
      </c>
      <c r="K17" s="122"/>
      <c r="L17" s="322" t="s">
        <v>904</v>
      </c>
      <c r="M17" s="322"/>
      <c r="N17" s="283">
        <f>E7*((1+$N$13)^7)</f>
        <v>46.033977164268556</v>
      </c>
    </row>
    <row r="18" spans="1:14" x14ac:dyDescent="0.45">
      <c r="B18" s="21" t="s">
        <v>903</v>
      </c>
      <c r="C18" s="21"/>
      <c r="D18" s="21"/>
      <c r="E18" s="283">
        <f>$E$6*((1+$E$15)^7)</f>
        <v>9.9434353929863661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48.227252485577658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C94</f>
        <v>0.13164590161622911</v>
      </c>
      <c r="F21" s="122"/>
      <c r="G21" s="122"/>
      <c r="H21" s="315" t="s">
        <v>910</v>
      </c>
      <c r="I21" s="323" t="str">
        <f>Output_Etapa1!$B$13</f>
        <v xml:space="preserve">Outros transportes </v>
      </c>
      <c r="J21" s="324">
        <f>E5+INDEX(Output_Etapa1!$B$5:$R$14,MATCH(I21,Output_Etapa1!$B$5:$B$14,0),MATCH(H21,Output_Etapa1!$B$5:$R$5,0))</f>
        <v>-6.5055707598306034E-3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C95</f>
        <v>10.872799644111245</v>
      </c>
      <c r="F22" s="122"/>
      <c r="G22" s="122"/>
      <c r="H22" s="321" t="s">
        <v>897</v>
      </c>
      <c r="I22" s="321"/>
      <c r="J22" s="284">
        <f>E6*((1+$J$21)^4)</f>
        <v>6.4589349496607387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C96</f>
        <v>52.734817790591229</v>
      </c>
      <c r="F23" s="122"/>
      <c r="G23" s="122"/>
      <c r="H23" s="322" t="s">
        <v>874</v>
      </c>
      <c r="I23" s="322"/>
      <c r="J23" s="284">
        <f>E7*((1+$J$21)^4)</f>
        <v>31.326867857453514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15.756982402715746</v>
      </c>
      <c r="F24" s="122"/>
      <c r="G24" s="122"/>
      <c r="H24" s="322" t="s">
        <v>903</v>
      </c>
      <c r="I24" s="322"/>
      <c r="J24" s="283">
        <f>E6*((1+$J$21)^7)</f>
        <v>6.3336960701387568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76.423885580086889</v>
      </c>
      <c r="F25" s="122"/>
      <c r="G25" s="122"/>
      <c r="H25" s="322" t="s">
        <v>904</v>
      </c>
      <c r="I25" s="322"/>
      <c r="J25" s="283">
        <f>E7*((1+$J$21)^7)</f>
        <v>30.719439255063467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  <c r="D31" t="s">
        <v>900</v>
      </c>
      <c r="E31" s="18">
        <f>Aux!A9</f>
        <v>1.0785319545600001</v>
      </c>
    </row>
    <row r="32" spans="1:14" ht="28.25" customHeight="1" x14ac:dyDescent="0.45">
      <c r="A32" s="24"/>
      <c r="B32" s="117" t="s">
        <v>691</v>
      </c>
      <c r="C32" s="115">
        <f>'Proporção satelites'!M6</f>
        <v>1.007044629971858E-2</v>
      </c>
      <c r="F32" s="86"/>
      <c r="G32" s="13"/>
    </row>
    <row r="33" spans="1:13" x14ac:dyDescent="0.45">
      <c r="A33" s="24"/>
      <c r="B33" s="116" t="s">
        <v>758</v>
      </c>
      <c r="C33" s="161">
        <f>'Cenario B benchmark va'!C12</f>
        <v>5.9615211794127675E-2</v>
      </c>
    </row>
    <row r="34" spans="1:13" x14ac:dyDescent="0.45">
      <c r="A34" s="24"/>
      <c r="B34" s="116" t="s">
        <v>744</v>
      </c>
      <c r="C34" s="161">
        <f>'Cenario B benchmark va'!D12</f>
        <v>0.13164590161622911</v>
      </c>
    </row>
    <row r="35" spans="1:13" ht="28.25" customHeight="1" x14ac:dyDescent="0.45">
      <c r="A35" s="24"/>
      <c r="B35" s="117" t="s">
        <v>760</v>
      </c>
      <c r="C35" s="115">
        <v>8.1000000000000003E-2</v>
      </c>
      <c r="F35" s="86"/>
      <c r="G35" s="13"/>
    </row>
    <row r="36" spans="1:13" x14ac:dyDescent="0.45">
      <c r="A36" s="24"/>
      <c r="B36" s="116" t="s">
        <v>745</v>
      </c>
      <c r="C36" s="164" t="str">
        <f>IF(D57&lt;5%,"produto disruptivo", "produto representativo")</f>
        <v>produto disruptivo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790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45">
      <c r="A49" s="24"/>
      <c r="B49" s="106" t="s">
        <v>255</v>
      </c>
      <c r="C49" s="107">
        <v>11518346</v>
      </c>
      <c r="D49" s="107">
        <v>11772218</v>
      </c>
      <c r="E49" s="107">
        <v>10065293</v>
      </c>
      <c r="F49" s="107">
        <v>11810640</v>
      </c>
      <c r="G49" s="107">
        <v>7201477</v>
      </c>
      <c r="H49" s="107">
        <v>10982864</v>
      </c>
      <c r="I49" s="83">
        <f>C49*$C$28</f>
        <v>15691043.937486637</v>
      </c>
      <c r="K49" s="24"/>
      <c r="L49" s="24"/>
    </row>
    <row r="50" spans="1:13" x14ac:dyDescent="0.45">
      <c r="A50" s="24"/>
      <c r="B50" s="106" t="s">
        <v>260</v>
      </c>
      <c r="C50" s="118">
        <f>AVERAGE(E50:G50)</f>
        <v>3134336.6666666665</v>
      </c>
      <c r="D50" s="114"/>
      <c r="E50" s="114">
        <v>3191397</v>
      </c>
      <c r="F50" s="114">
        <v>5107609</v>
      </c>
      <c r="G50" s="114">
        <v>1104004</v>
      </c>
      <c r="H50" s="114">
        <v>3464949</v>
      </c>
      <c r="I50" s="83"/>
      <c r="K50" s="24"/>
      <c r="L50" s="24"/>
    </row>
    <row r="51" spans="1:13" x14ac:dyDescent="0.45">
      <c r="A51" s="24"/>
      <c r="B51" s="109" t="s">
        <v>218</v>
      </c>
      <c r="C51" s="113">
        <f>C50*$C$32</f>
        <v>31564.1690869056</v>
      </c>
      <c r="D51" s="113"/>
      <c r="E51" s="113">
        <f t="shared" ref="E51:H51" si="0">E50*$C$32</f>
        <v>32138.792109582977</v>
      </c>
      <c r="F51" s="113">
        <f t="shared" si="0"/>
        <v>51435.90215445932</v>
      </c>
      <c r="G51" s="113">
        <f t="shared" si="0"/>
        <v>11117.812996674511</v>
      </c>
      <c r="H51" s="113">
        <f t="shared" si="0"/>
        <v>34893.582835763591</v>
      </c>
      <c r="I51" s="11"/>
      <c r="K51" s="24"/>
      <c r="L51" s="24"/>
    </row>
    <row r="52" spans="1:13" x14ac:dyDescent="0.45">
      <c r="A52" s="24"/>
      <c r="B52" s="2"/>
      <c r="C52" s="78"/>
      <c r="D52" s="78"/>
      <c r="E52" s="78"/>
      <c r="F52" s="78"/>
      <c r="G52" s="78"/>
      <c r="H52" s="78"/>
      <c r="I52" s="24"/>
      <c r="K52" s="24"/>
      <c r="L52" s="24"/>
    </row>
    <row r="53" spans="1:13" x14ac:dyDescent="0.45">
      <c r="A53" s="24"/>
      <c r="B53" s="75" t="s">
        <v>184</v>
      </c>
      <c r="C53" s="24"/>
      <c r="D53" s="24"/>
      <c r="E53" s="24"/>
      <c r="F53" s="24"/>
      <c r="G53" s="90"/>
      <c r="H53" s="24"/>
      <c r="I53" s="24"/>
      <c r="K53" s="24"/>
      <c r="L53" s="24"/>
    </row>
    <row r="54" spans="1:13" x14ac:dyDescent="0.45">
      <c r="A54" s="24"/>
      <c r="B54" s="170" t="s">
        <v>44</v>
      </c>
      <c r="C54" s="171" t="s">
        <v>43</v>
      </c>
      <c r="D54" s="171" t="s">
        <v>902</v>
      </c>
      <c r="E54" s="171" t="s">
        <v>48</v>
      </c>
      <c r="F54" s="171" t="s">
        <v>39</v>
      </c>
      <c r="G54" s="90"/>
      <c r="I54" s="90"/>
      <c r="J54" s="24"/>
      <c r="K54" s="24"/>
    </row>
    <row r="55" spans="1:13" x14ac:dyDescent="0.45">
      <c r="A55" s="24"/>
      <c r="B55" s="22" t="s">
        <v>693</v>
      </c>
      <c r="C55" s="84">
        <f>C49*$C$31*$C$30/1000</f>
        <v>3772.7318669997685</v>
      </c>
      <c r="D55" s="84">
        <f>F49*$E$31*$C$30/1000</f>
        <v>3649.7784631281238</v>
      </c>
      <c r="E55" s="94">
        <f>D55-C55</f>
        <v>-122.9534038716447</v>
      </c>
      <c r="F55" s="95">
        <f>IF(((D55/C55)^(1/5)-1)&lt;0,0,((D55/C55)^(1/5)-1))</f>
        <v>0</v>
      </c>
      <c r="G55" s="90"/>
      <c r="I55" s="90"/>
      <c r="J55" s="14"/>
      <c r="M55" s="14"/>
    </row>
    <row r="56" spans="1:13" x14ac:dyDescent="0.45">
      <c r="A56" s="24"/>
      <c r="B56" s="142" t="s">
        <v>690</v>
      </c>
      <c r="C56" s="84">
        <f>C51*$C$31*$C$30/1000</f>
        <v>10.338563068824097</v>
      </c>
      <c r="D56" s="84">
        <f>H51*$C$29/1000</f>
        <v>6.6297807387950822</v>
      </c>
      <c r="E56" s="94">
        <f>D56-C56</f>
        <v>-3.708782330029015</v>
      </c>
      <c r="F56" s="96">
        <f>(D56/C56)^(1/5)-1</f>
        <v>-8.5028015061632822E-2</v>
      </c>
      <c r="G56" s="24"/>
      <c r="I56" s="14"/>
      <c r="J56" s="14"/>
      <c r="M56" s="14"/>
    </row>
    <row r="57" spans="1:13" x14ac:dyDescent="0.45">
      <c r="A57" s="24"/>
      <c r="C57" s="131">
        <f>C56/C55</f>
        <v>2.740338681170509E-3</v>
      </c>
      <c r="D57" s="131">
        <f>D56/D55</f>
        <v>1.816488536433765E-3</v>
      </c>
      <c r="E57" s="14"/>
      <c r="F57" s="14"/>
      <c r="G57" s="14"/>
      <c r="I57" s="14"/>
      <c r="J57" s="14"/>
      <c r="M57" s="14"/>
    </row>
    <row r="58" spans="1:13" x14ac:dyDescent="0.45">
      <c r="A58" s="24"/>
      <c r="D58" s="14"/>
      <c r="E58" s="14"/>
      <c r="F58" s="14"/>
      <c r="G58" s="14"/>
      <c r="H58" s="14"/>
      <c r="I58" s="14"/>
      <c r="J58" s="14"/>
      <c r="M58" s="14"/>
    </row>
    <row r="59" spans="1:13" x14ac:dyDescent="0.45">
      <c r="A59" s="24" t="s">
        <v>50</v>
      </c>
      <c r="B59" s="74" t="s">
        <v>786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45">
      <c r="A60" s="24"/>
      <c r="B60" s="75" t="s">
        <v>783</v>
      </c>
      <c r="C60" s="127"/>
      <c r="D60" s="127"/>
      <c r="E60" s="127"/>
      <c r="F60" s="127"/>
      <c r="G60" s="127"/>
      <c r="H60" s="127"/>
      <c r="I60" s="124"/>
      <c r="J60" s="24"/>
      <c r="K60" s="24"/>
    </row>
    <row r="61" spans="1:13" x14ac:dyDescent="0.45">
      <c r="A61" s="24"/>
      <c r="B61" s="20" t="s">
        <v>44</v>
      </c>
      <c r="C61" s="25">
        <v>2016</v>
      </c>
      <c r="D61" s="25">
        <v>2017</v>
      </c>
      <c r="E61" s="25">
        <v>2018</v>
      </c>
      <c r="F61" s="25">
        <v>2019</v>
      </c>
      <c r="G61" s="25">
        <v>2020</v>
      </c>
      <c r="H61" s="25">
        <v>2021</v>
      </c>
      <c r="J61" s="183" t="s">
        <v>782</v>
      </c>
      <c r="K61" s="24"/>
    </row>
    <row r="62" spans="1:13" x14ac:dyDescent="0.45">
      <c r="A62" s="24"/>
      <c r="B62" s="106" t="s">
        <v>255</v>
      </c>
      <c r="C62" s="78">
        <f>VLOOKUP($B62,'Dados IBGE - VPB'!$A$4:$G$423,2,FALSE)</f>
        <v>44978379</v>
      </c>
      <c r="D62" s="78">
        <f>VLOOKUP($B62,'Dados IBGE - VPB'!$A$4:$G$423,3,FALSE)</f>
        <v>39659061</v>
      </c>
      <c r="E62" s="78">
        <f>VLOOKUP($B62,'Dados IBGE - VPB'!$A$4:$G$423,4,FALSE)</f>
        <v>39577934</v>
      </c>
      <c r="F62" s="78">
        <f>VLOOKUP($B62,'Dados IBGE - VPB'!$A$4:$G$423,5,FALSE)</f>
        <v>40893860</v>
      </c>
      <c r="G62" s="78">
        <f>VLOOKUP($B62,'Dados IBGE - VPB'!$A$4:$G$423,6,FALSE)</f>
        <v>39942471</v>
      </c>
      <c r="H62" s="78">
        <f>VLOOKUP($B62,'Dados IBGE - VPB'!$A$4:$G$423,7,FALSE)</f>
        <v>48283439</v>
      </c>
      <c r="J62" s="11">
        <f t="shared" ref="J62:J63" si="1">H62*$C$29/1000</f>
        <v>9173.8534099999997</v>
      </c>
      <c r="K62" s="24"/>
    </row>
    <row r="63" spans="1:13" x14ac:dyDescent="0.45">
      <c r="A63" s="24"/>
      <c r="B63" s="106" t="s">
        <v>260</v>
      </c>
      <c r="C63" s="186" t="str">
        <f>VLOOKUP($B63,'Dados IBGE - VPB'!$A$4:$G$423,3,FALSE)</f>
        <v>X</v>
      </c>
      <c r="D63" s="186" t="str">
        <f>VLOOKUP($B63,'Dados IBGE - VPB'!$A$4:$G$423,3,FALSE)</f>
        <v>X</v>
      </c>
      <c r="E63" s="186">
        <f>VLOOKUP($B63,'Dados IBGE - VPB'!$A$4:$G$423,4,FALSE)</f>
        <v>15801196</v>
      </c>
      <c r="F63" s="186">
        <f>VLOOKUP($B63,'Dados IBGE - VPB'!$A$4:$G$423,5,FALSE)</f>
        <v>16542413</v>
      </c>
      <c r="G63" s="186">
        <f>VLOOKUP($B63,'Dados IBGE - VPB'!$A$4:$G$423,6,FALSE)</f>
        <v>16536147</v>
      </c>
      <c r="H63" s="186">
        <f>VLOOKUP($B63,'Dados IBGE - VPB'!$A$4:$G$423,7,FALSE)</f>
        <v>16805557</v>
      </c>
      <c r="J63" s="11">
        <f t="shared" si="1"/>
        <v>3193.0558300000002</v>
      </c>
      <c r="K63" s="24"/>
    </row>
    <row r="64" spans="1:13" x14ac:dyDescent="0.45">
      <c r="A64" s="24"/>
      <c r="B64" s="142" t="s">
        <v>690</v>
      </c>
      <c r="C64" s="113"/>
      <c r="D64" s="113"/>
      <c r="E64" s="113">
        <f t="shared" ref="E64:H64" si="2">E63*$C$32</f>
        <v>159125.09578932804</v>
      </c>
      <c r="F64" s="113">
        <f t="shared" si="2"/>
        <v>166589.48178426654</v>
      </c>
      <c r="G64" s="113">
        <f t="shared" si="2"/>
        <v>166526.38036775248</v>
      </c>
      <c r="H64" s="113">
        <f t="shared" si="2"/>
        <v>169239.45930535969</v>
      </c>
      <c r="J64" s="187">
        <f>H64*$C$29/1000</f>
        <v>32.155497268018344</v>
      </c>
      <c r="K64" s="24"/>
    </row>
    <row r="65" spans="1:13" x14ac:dyDescent="0.45">
      <c r="A65" s="24"/>
      <c r="B65" s="109"/>
      <c r="C65" s="130"/>
      <c r="D65" s="130"/>
      <c r="E65" s="130"/>
      <c r="F65" s="130"/>
      <c r="G65" s="130"/>
      <c r="H65" s="130"/>
      <c r="I65" s="11"/>
      <c r="J65" s="182"/>
      <c r="K65" s="24"/>
    </row>
    <row r="66" spans="1:13" x14ac:dyDescent="0.45">
      <c r="A66" s="24" t="s">
        <v>784</v>
      </c>
      <c r="B66" s="21" t="s">
        <v>877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3" x14ac:dyDescent="0.45">
      <c r="B67" s="73" t="s">
        <v>229</v>
      </c>
    </row>
    <row r="68" spans="1:13" x14ac:dyDescent="0.45">
      <c r="B68" s="73"/>
    </row>
    <row r="69" spans="1:13" x14ac:dyDescent="0.45">
      <c r="B69" t="s">
        <v>817</v>
      </c>
      <c r="C69">
        <f>2026-2021</f>
        <v>5</v>
      </c>
    </row>
    <row r="70" spans="1:13" x14ac:dyDescent="0.45">
      <c r="B70" t="s">
        <v>818</v>
      </c>
      <c r="C70">
        <f>2030-2026</f>
        <v>4</v>
      </c>
    </row>
    <row r="71" spans="1:13" x14ac:dyDescent="0.45">
      <c r="B71" s="73"/>
    </row>
    <row r="72" spans="1:13" x14ac:dyDescent="0.45">
      <c r="B72" s="1" t="s">
        <v>858</v>
      </c>
    </row>
    <row r="73" spans="1:13" x14ac:dyDescent="0.45">
      <c r="B73" s="270" t="s">
        <v>852</v>
      </c>
      <c r="C73" s="271"/>
      <c r="D73" s="271"/>
      <c r="E73" s="271"/>
    </row>
    <row r="74" spans="1:13" x14ac:dyDescent="0.45">
      <c r="B74" s="23" t="s">
        <v>862</v>
      </c>
      <c r="C74" s="144">
        <f>F55</f>
        <v>0</v>
      </c>
      <c r="D74" s="85"/>
    </row>
    <row r="75" spans="1:13" x14ac:dyDescent="0.45">
      <c r="B75" s="23" t="s">
        <v>863</v>
      </c>
      <c r="C75" s="87">
        <f>D56*((1+C74)^C69)</f>
        <v>6.6297807387950822</v>
      </c>
      <c r="D75" s="98"/>
      <c r="E75" s="98"/>
    </row>
    <row r="76" spans="1:13" x14ac:dyDescent="0.45">
      <c r="B76" s="23" t="s">
        <v>864</v>
      </c>
      <c r="C76" s="178">
        <f>J64*((1+C74)^C69)</f>
        <v>32.155497268018344</v>
      </c>
      <c r="D76" s="85"/>
    </row>
    <row r="77" spans="1:13" x14ac:dyDescent="0.45">
      <c r="B77" s="23"/>
      <c r="C77" s="178"/>
      <c r="D77" s="85"/>
    </row>
    <row r="78" spans="1:13" x14ac:dyDescent="0.45">
      <c r="B78" s="1" t="s">
        <v>859</v>
      </c>
    </row>
    <row r="79" spans="1:13" x14ac:dyDescent="0.45">
      <c r="B79" s="270" t="s">
        <v>852</v>
      </c>
      <c r="C79" s="271"/>
      <c r="D79" s="271"/>
      <c r="E79" s="271"/>
    </row>
    <row r="80" spans="1:13" x14ac:dyDescent="0.45">
      <c r="B80" s="23" t="s">
        <v>862</v>
      </c>
      <c r="C80" s="144">
        <f>C74</f>
        <v>0</v>
      </c>
      <c r="D80" s="85"/>
    </row>
    <row r="81" spans="2:5" x14ac:dyDescent="0.45">
      <c r="B81" s="23" t="s">
        <v>880</v>
      </c>
      <c r="C81" s="87">
        <f>C75*((1+C80)^C70)</f>
        <v>6.6297807387950822</v>
      </c>
      <c r="D81" s="98"/>
      <c r="E81" s="98"/>
    </row>
    <row r="82" spans="2:5" x14ac:dyDescent="0.45">
      <c r="B82" s="23" t="s">
        <v>881</v>
      </c>
      <c r="C82" s="178">
        <f>C76*((1+C80)^C70)</f>
        <v>32.155497268018344</v>
      </c>
      <c r="D82" s="85"/>
    </row>
    <row r="83" spans="2:5" x14ac:dyDescent="0.45">
      <c r="B83" s="23"/>
      <c r="C83" s="178"/>
      <c r="D83" s="85"/>
    </row>
    <row r="84" spans="2:5" x14ac:dyDescent="0.45">
      <c r="B84" s="1" t="s">
        <v>860</v>
      </c>
    </row>
    <row r="85" spans="2:5" x14ac:dyDescent="0.45">
      <c r="B85" s="270" t="s">
        <v>865</v>
      </c>
      <c r="C85" s="271"/>
      <c r="D85" s="271"/>
      <c r="E85" s="271"/>
    </row>
    <row r="86" spans="2:5" x14ac:dyDescent="0.45">
      <c r="B86" s="23" t="s">
        <v>866</v>
      </c>
      <c r="C86" s="144">
        <f>C74+C33</f>
        <v>5.9615211794127675E-2</v>
      </c>
      <c r="D86" s="85"/>
    </row>
    <row r="87" spans="2:5" ht="17" customHeight="1" x14ac:dyDescent="0.45">
      <c r="B87" s="23" t="s">
        <v>880</v>
      </c>
      <c r="C87" s="248">
        <f>C75*((1+C86)^C70)</f>
        <v>8.3577986287093733</v>
      </c>
      <c r="D87" s="98"/>
      <c r="E87" s="98"/>
    </row>
    <row r="88" spans="2:5" ht="17" customHeight="1" x14ac:dyDescent="0.45">
      <c r="B88" s="23" t="s">
        <v>881</v>
      </c>
      <c r="C88" s="178">
        <f>C76*((1+C86)^C70)</f>
        <v>40.536660496098861</v>
      </c>
      <c r="D88" s="85"/>
    </row>
    <row r="89" spans="2:5" ht="17" customHeight="1" x14ac:dyDescent="0.45"/>
    <row r="90" spans="2:5" ht="17" customHeight="1" x14ac:dyDescent="0.45">
      <c r="B90" s="274" t="s">
        <v>849</v>
      </c>
      <c r="C90" s="274" t="str">
        <f>C36</f>
        <v>produto disruptivo</v>
      </c>
    </row>
    <row r="91" spans="2:5" ht="17" customHeight="1" x14ac:dyDescent="0.45"/>
    <row r="92" spans="2:5" x14ac:dyDescent="0.45">
      <c r="B92" s="1" t="s">
        <v>861</v>
      </c>
    </row>
    <row r="93" spans="2:5" x14ac:dyDescent="0.45">
      <c r="B93" s="270" t="s">
        <v>882</v>
      </c>
      <c r="C93" s="271"/>
      <c r="D93" s="271"/>
      <c r="E93" s="271"/>
    </row>
    <row r="94" spans="2:5" ht="17" customHeight="1" x14ac:dyDescent="0.45">
      <c r="B94" s="23" t="s">
        <v>917</v>
      </c>
      <c r="C94" s="144">
        <f>IF(AND((C90="produto disruptivo"),(C35&gt;(C74+C34))),C35,(C74+C34))</f>
        <v>0.13164590161622911</v>
      </c>
      <c r="D94" s="85"/>
    </row>
    <row r="95" spans="2:5" ht="17" customHeight="1" x14ac:dyDescent="0.45">
      <c r="B95" s="23" t="s">
        <v>880</v>
      </c>
      <c r="C95" s="248">
        <f>C75*((1+C94)^C70)</f>
        <v>10.872799644111245</v>
      </c>
      <c r="D95" s="282"/>
    </row>
    <row r="96" spans="2:5" ht="17" customHeight="1" x14ac:dyDescent="0.45">
      <c r="B96" s="23" t="s">
        <v>881</v>
      </c>
      <c r="C96" s="178">
        <f>C76*((1+C94)^C70)</f>
        <v>52.734817790591229</v>
      </c>
      <c r="D96" s="282"/>
      <c r="E96" s="1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F7BF-61FF-48CE-9BE6-B38A2C2109A9}">
  <dimension ref="A1:N96"/>
  <sheetViews>
    <sheetView showGridLines="0" zoomScale="85" zoomScaleNormal="85" workbookViewId="0"/>
  </sheetViews>
  <sheetFormatPr defaultColWidth="8.86328125" defaultRowHeight="14.25" x14ac:dyDescent="0.45"/>
  <cols>
    <col min="1" max="1" width="4.86328125" customWidth="1"/>
    <col min="2" max="2" width="43.33203125" customWidth="1"/>
    <col min="3" max="3" width="15.33203125" bestFit="1" customWidth="1"/>
    <col min="4" max="6" width="13.6640625" bestFit="1" customWidth="1"/>
    <col min="7" max="8" width="16" customWidth="1"/>
    <col min="9" max="9" width="14.6640625" customWidth="1"/>
    <col min="10" max="10" width="13.6640625" bestFit="1" customWidth="1"/>
    <col min="11" max="12" width="16.53125" customWidth="1"/>
    <col min="13" max="13" width="15.1328125" customWidth="1"/>
  </cols>
  <sheetData>
    <row r="1" spans="1:14" s="69" customFormat="1" ht="22.25" customHeight="1" thickBot="1" x14ac:dyDescent="0.6">
      <c r="A1" s="70" t="s">
        <v>791</v>
      </c>
    </row>
    <row r="3" spans="1:14" x14ac:dyDescent="0.45">
      <c r="A3" s="24" t="s">
        <v>815</v>
      </c>
      <c r="B3" s="21" t="s">
        <v>868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s="122" customFormat="1" ht="15.6" customHeight="1" x14ac:dyDescent="0.5">
      <c r="A4" s="120"/>
      <c r="B4" s="325" t="s">
        <v>905</v>
      </c>
      <c r="C4" s="325"/>
      <c r="D4" s="325"/>
      <c r="E4" s="325"/>
      <c r="H4" s="326" t="s">
        <v>1030</v>
      </c>
      <c r="I4" s="327"/>
      <c r="J4" s="327"/>
      <c r="L4" s="326" t="s">
        <v>1032</v>
      </c>
      <c r="M4" s="327"/>
      <c r="N4" s="327"/>
    </row>
    <row r="5" spans="1:14" x14ac:dyDescent="0.45">
      <c r="B5" s="242" t="s">
        <v>875</v>
      </c>
      <c r="C5" s="242"/>
      <c r="D5" s="243" t="s">
        <v>39</v>
      </c>
      <c r="E5" s="244">
        <f>C74</f>
        <v>5.356273913971199E-3</v>
      </c>
      <c r="F5" s="122"/>
      <c r="G5" s="122"/>
      <c r="H5" s="315" t="s">
        <v>908</v>
      </c>
      <c r="I5" s="323" t="str">
        <f>Output_Etapa1!$B$14</f>
        <v>Eletrônicos</v>
      </c>
      <c r="J5" s="324">
        <f>E5+INDEX(Output_Etapa1!$B$5:$R$14,MATCH(I5,Output_Etapa1!$B$5:$B$14,0),MATCH(H5,Output_Etapa1!$B$5:$R$5,0))</f>
        <v>4.6242208522982331E-2</v>
      </c>
      <c r="K5" s="122"/>
      <c r="L5" s="315" t="s">
        <v>911</v>
      </c>
      <c r="M5" s="323" t="str">
        <f>Output_Etapa1!$B$14</f>
        <v>Eletrônicos</v>
      </c>
      <c r="N5" s="324" t="e">
        <f>E5+INDEX(Output_Etapa1!$B$5:$R$14,MATCH(M5,Output_Etapa1!$B$5:$B$14,0),MATCH(L5,Output_Etapa1!$B$5:$R$5,0))</f>
        <v>#N/A</v>
      </c>
    </row>
    <row r="6" spans="1:14" x14ac:dyDescent="0.45">
      <c r="B6" s="21" t="s">
        <v>816</v>
      </c>
      <c r="C6" s="21"/>
      <c r="D6" s="21"/>
      <c r="E6" s="283">
        <f>C75</f>
        <v>26.029876940124865</v>
      </c>
      <c r="F6" s="122"/>
      <c r="G6" s="122"/>
      <c r="H6" s="321" t="s">
        <v>897</v>
      </c>
      <c r="I6" s="321"/>
      <c r="J6" s="284">
        <f>E6*((1+$J$5)^4)</f>
        <v>31.188972110877483</v>
      </c>
      <c r="K6" s="122"/>
      <c r="L6" s="321" t="s">
        <v>897</v>
      </c>
      <c r="M6" s="321"/>
      <c r="N6" s="284" t="e">
        <f>E6*((1+$N$5)^4)</f>
        <v>#N/A</v>
      </c>
    </row>
    <row r="7" spans="1:14" x14ac:dyDescent="0.45">
      <c r="B7" s="21" t="s">
        <v>873</v>
      </c>
      <c r="C7" s="21"/>
      <c r="D7" s="21"/>
      <c r="E7" s="283">
        <f>C76</f>
        <v>77.473426937703749</v>
      </c>
      <c r="F7" s="122"/>
      <c r="G7" s="122"/>
      <c r="H7" s="322" t="s">
        <v>874</v>
      </c>
      <c r="I7" s="322"/>
      <c r="J7" s="284">
        <f>E7*((1+$J$5)^4)</f>
        <v>92.828581466300065</v>
      </c>
      <c r="K7" s="122"/>
      <c r="L7" s="322" t="s">
        <v>874</v>
      </c>
      <c r="M7" s="322"/>
      <c r="N7" s="284" t="e">
        <f>E7*((1+$N$5)^4)</f>
        <v>#N/A</v>
      </c>
    </row>
    <row r="8" spans="1:14" x14ac:dyDescent="0.45">
      <c r="F8" s="122"/>
      <c r="G8" s="122"/>
      <c r="H8" s="322" t="s">
        <v>903</v>
      </c>
      <c r="I8" s="322"/>
      <c r="J8" s="283">
        <f>E6*((1+$J$5)^7)</f>
        <v>35.718875036681339</v>
      </c>
      <c r="K8" s="122"/>
      <c r="L8" s="322" t="s">
        <v>903</v>
      </c>
      <c r="M8" s="322"/>
      <c r="N8" s="283" t="e">
        <f>E6*((1+$N$5)^7)</f>
        <v>#N/A</v>
      </c>
    </row>
    <row r="9" spans="1:14" x14ac:dyDescent="0.45">
      <c r="B9" s="76" t="s">
        <v>832</v>
      </c>
      <c r="C9" s="76"/>
      <c r="D9" s="7" t="s">
        <v>39</v>
      </c>
      <c r="E9" s="172">
        <f>C80</f>
        <v>5.356273913971199E-3</v>
      </c>
      <c r="F9" s="122"/>
      <c r="G9" s="122"/>
      <c r="H9" s="322" t="s">
        <v>904</v>
      </c>
      <c r="I9" s="322"/>
      <c r="J9" s="283">
        <f>E7*((1+$J$5)^7)</f>
        <v>106.31105409436591</v>
      </c>
      <c r="K9" s="122"/>
      <c r="L9" s="322" t="s">
        <v>904</v>
      </c>
      <c r="M9" s="322"/>
      <c r="N9" s="283" t="e">
        <f>E7*((1+$N$5)^7)</f>
        <v>#N/A</v>
      </c>
    </row>
    <row r="10" spans="1:14" x14ac:dyDescent="0.45">
      <c r="B10" s="21" t="s">
        <v>232</v>
      </c>
      <c r="C10" s="21"/>
      <c r="D10" s="21"/>
      <c r="E10" s="283">
        <f>C81</f>
        <v>26.592066296434989</v>
      </c>
      <c r="F10" s="122"/>
      <c r="G10" s="122"/>
      <c r="H10" s="122"/>
      <c r="I10" s="122"/>
      <c r="J10" s="122"/>
      <c r="K10" s="122"/>
      <c r="L10" s="122"/>
      <c r="M10" s="122"/>
      <c r="N10" s="122"/>
    </row>
    <row r="11" spans="1:14" x14ac:dyDescent="0.45">
      <c r="B11" s="21" t="s">
        <v>874</v>
      </c>
      <c r="C11" s="21"/>
      <c r="D11" s="21"/>
      <c r="E11" s="283">
        <f>C82</f>
        <v>79.146686328112466</v>
      </c>
      <c r="F11" s="122"/>
      <c r="G11" s="122"/>
      <c r="H11" s="122"/>
      <c r="I11" s="122"/>
      <c r="J11" s="122"/>
      <c r="K11" s="122"/>
      <c r="L11" s="122"/>
      <c r="M11" s="122"/>
      <c r="N11" s="122"/>
    </row>
    <row r="12" spans="1:14" ht="15.75" x14ac:dyDescent="0.5">
      <c r="B12" s="21" t="s">
        <v>903</v>
      </c>
      <c r="C12" s="21"/>
      <c r="D12" s="21"/>
      <c r="E12" s="283">
        <f>$E$6*((1+$E$9)^7)</f>
        <v>27.021662308736516</v>
      </c>
      <c r="F12" s="122"/>
      <c r="G12" s="122"/>
      <c r="H12" s="326" t="s">
        <v>1031</v>
      </c>
      <c r="I12" s="327"/>
      <c r="J12" s="327"/>
      <c r="K12" s="122"/>
      <c r="L12" s="326" t="s">
        <v>1033</v>
      </c>
      <c r="M12" s="327"/>
      <c r="N12" s="327"/>
    </row>
    <row r="13" spans="1:14" x14ac:dyDescent="0.45">
      <c r="B13" s="21" t="s">
        <v>904</v>
      </c>
      <c r="C13" s="21"/>
      <c r="D13" s="21"/>
      <c r="E13" s="283">
        <f>$E$7*((1+$E$9)^7)</f>
        <v>80.425304561626533</v>
      </c>
      <c r="F13" s="122"/>
      <c r="G13" s="122"/>
      <c r="H13" s="315" t="s">
        <v>909</v>
      </c>
      <c r="I13" s="323" t="str">
        <f>Output_Etapa1!$B$14</f>
        <v>Eletrônicos</v>
      </c>
      <c r="J13" s="324">
        <f>E5+INDEX(Output_Etapa1!$B$5:$R$14,MATCH(I13,Output_Etapa1!$B$5:$B$14,0),MATCH(H13,Output_Etapa1!$B$5:$R$5,0))</f>
        <v>0.13675867924516472</v>
      </c>
      <c r="K13" s="122"/>
      <c r="L13" s="315" t="s">
        <v>997</v>
      </c>
      <c r="M13" s="323" t="str">
        <f>Output_Etapa1!$B$14</f>
        <v>Eletrônicos</v>
      </c>
      <c r="N13" s="324">
        <f>INDEX(Output_Etapa1!$B$5:$R$14,MATCH(M13,Output_Etapa1!$B$5:$B$14,0),MATCH(L13,Output_Etapa1!$B$5:$R$5,0))</f>
        <v>0.23423273945647138</v>
      </c>
    </row>
    <row r="14" spans="1:14" x14ac:dyDescent="0.45">
      <c r="F14" s="122"/>
      <c r="G14" s="122"/>
      <c r="H14" s="321" t="s">
        <v>897</v>
      </c>
      <c r="I14" s="321"/>
      <c r="J14" s="284">
        <f>E6*((1+$J$13)^4)</f>
        <v>43.465555059488402</v>
      </c>
      <c r="K14" s="122"/>
      <c r="L14" s="321" t="s">
        <v>897</v>
      </c>
      <c r="M14" s="321"/>
      <c r="N14" s="284">
        <f>E6*((1+$N$13)^4)</f>
        <v>60.403258070412996</v>
      </c>
    </row>
    <row r="15" spans="1:14" x14ac:dyDescent="0.45">
      <c r="B15" s="168" t="s">
        <v>747</v>
      </c>
      <c r="C15" s="168"/>
      <c r="D15" s="6" t="s">
        <v>39</v>
      </c>
      <c r="E15" s="169">
        <f>C86</f>
        <v>1.7409931871750873E-2</v>
      </c>
      <c r="F15" s="122"/>
      <c r="G15" s="122"/>
      <c r="H15" s="322" t="s">
        <v>874</v>
      </c>
      <c r="I15" s="322"/>
      <c r="J15" s="284">
        <f>E7*((1+$J$13)^4)</f>
        <v>129.36770742151117</v>
      </c>
      <c r="K15" s="122"/>
      <c r="L15" s="322" t="s">
        <v>874</v>
      </c>
      <c r="M15" s="322"/>
      <c r="N15" s="284">
        <f>E7*((1+$N$13)^4)</f>
        <v>179.77985111807283</v>
      </c>
    </row>
    <row r="16" spans="1:14" x14ac:dyDescent="0.45">
      <c r="B16" s="21" t="s">
        <v>232</v>
      </c>
      <c r="C16" s="21"/>
      <c r="D16" s="97"/>
      <c r="E16" s="284">
        <f>C87</f>
        <v>27.890481140819798</v>
      </c>
      <c r="F16" s="122"/>
      <c r="G16" s="122"/>
      <c r="H16" s="322" t="s">
        <v>903</v>
      </c>
      <c r="I16" s="322"/>
      <c r="J16" s="283">
        <f>E6*((1+$J$13)^7)</f>
        <v>63.848407009301937</v>
      </c>
      <c r="K16" s="122"/>
      <c r="L16" s="322" t="s">
        <v>903</v>
      </c>
      <c r="M16" s="322"/>
      <c r="N16" s="283">
        <f>E6*((1+$N$13)^7)</f>
        <v>113.56684261604063</v>
      </c>
    </row>
    <row r="17" spans="1:14" x14ac:dyDescent="0.45">
      <c r="B17" s="21" t="s">
        <v>874</v>
      </c>
      <c r="C17" s="21"/>
      <c r="D17" s="21"/>
      <c r="E17" s="284">
        <f>C88</f>
        <v>83.011193556197497</v>
      </c>
      <c r="F17" s="122"/>
      <c r="G17" s="122"/>
      <c r="H17" s="322" t="s">
        <v>904</v>
      </c>
      <c r="I17" s="322"/>
      <c r="J17" s="283">
        <f>E7*((1+$J$13)^7)</f>
        <v>190.03374110842788</v>
      </c>
      <c r="K17" s="122"/>
      <c r="L17" s="322" t="s">
        <v>904</v>
      </c>
      <c r="M17" s="322"/>
      <c r="N17" s="283">
        <f>E7*((1+$N$13)^7)</f>
        <v>338.01206606539256</v>
      </c>
    </row>
    <row r="18" spans="1:14" x14ac:dyDescent="0.45">
      <c r="B18" s="21" t="s">
        <v>903</v>
      </c>
      <c r="C18" s="21"/>
      <c r="D18" s="21"/>
      <c r="E18" s="283">
        <f>$E$6*((1+$E$15)^7)</f>
        <v>29.372703743634229</v>
      </c>
      <c r="F18" s="122"/>
      <c r="G18" s="122"/>
      <c r="H18" s="122"/>
      <c r="I18" s="122"/>
      <c r="J18" s="122"/>
      <c r="K18" s="122"/>
      <c r="L18" s="122"/>
      <c r="M18" s="122"/>
      <c r="N18" s="122"/>
    </row>
    <row r="19" spans="1:14" x14ac:dyDescent="0.45">
      <c r="B19" s="21" t="s">
        <v>904</v>
      </c>
      <c r="C19" s="21"/>
      <c r="D19" s="21"/>
      <c r="E19" s="283">
        <f>$E$7*((1+$E$15)^7)</f>
        <v>87.422772788350642</v>
      </c>
      <c r="F19" s="122"/>
      <c r="G19" s="122"/>
      <c r="H19" s="122"/>
      <c r="I19" s="122"/>
      <c r="J19" s="122"/>
      <c r="K19" s="122"/>
      <c r="L19" s="122"/>
      <c r="M19" s="122"/>
      <c r="N19" s="122"/>
    </row>
    <row r="20" spans="1:14" ht="15.75" x14ac:dyDescent="0.5">
      <c r="F20" s="122"/>
      <c r="G20" s="122"/>
      <c r="H20" s="326" t="s">
        <v>1031</v>
      </c>
      <c r="I20" s="327"/>
      <c r="J20" s="327"/>
      <c r="K20" s="122"/>
      <c r="L20" s="122"/>
      <c r="M20" s="122"/>
      <c r="N20" s="122"/>
    </row>
    <row r="21" spans="1:14" x14ac:dyDescent="0.45">
      <c r="B21" s="89" t="s">
        <v>185</v>
      </c>
      <c r="C21" s="89"/>
      <c r="D21" s="5" t="s">
        <v>39</v>
      </c>
      <c r="E21" s="88">
        <f>C94</f>
        <v>0.06</v>
      </c>
      <c r="F21" s="122"/>
      <c r="G21" s="122"/>
      <c r="H21" s="315" t="s">
        <v>910</v>
      </c>
      <c r="I21" s="323" t="str">
        <f>Output_Etapa1!$B$14</f>
        <v>Eletrônicos</v>
      </c>
      <c r="J21" s="324">
        <f>E5+INDEX(Output_Etapa1!$B$5:$R$14,MATCH(I21,Output_Etapa1!$B$5:$B$14,0),MATCH(H21,Output_Etapa1!$B$5:$R$5,0))</f>
        <v>1.3614389193871701E-2</v>
      </c>
      <c r="K21" s="122"/>
      <c r="L21" s="122"/>
      <c r="M21" s="122"/>
      <c r="N21" s="122"/>
    </row>
    <row r="22" spans="1:14" x14ac:dyDescent="0.45">
      <c r="B22" s="21" t="s">
        <v>232</v>
      </c>
      <c r="C22" s="21"/>
      <c r="D22" s="97"/>
      <c r="E22" s="284">
        <f>C95</f>
        <v>32.862119908542951</v>
      </c>
      <c r="F22" s="122"/>
      <c r="G22" s="122"/>
      <c r="H22" s="321" t="s">
        <v>897</v>
      </c>
      <c r="I22" s="321"/>
      <c r="J22" s="284">
        <f>E6*((1+$J$21)^4)</f>
        <v>27.476612150909659</v>
      </c>
      <c r="K22" s="122"/>
      <c r="L22" s="122"/>
      <c r="M22" s="122"/>
      <c r="N22" s="122"/>
    </row>
    <row r="23" spans="1:14" x14ac:dyDescent="0.45">
      <c r="B23" s="21" t="s">
        <v>874</v>
      </c>
      <c r="C23" s="21"/>
      <c r="D23" s="21"/>
      <c r="E23" s="284">
        <f>C96</f>
        <v>97.808416521094358</v>
      </c>
      <c r="F23" s="122"/>
      <c r="G23" s="122"/>
      <c r="H23" s="322" t="s">
        <v>874</v>
      </c>
      <c r="I23" s="322"/>
      <c r="J23" s="284">
        <f>E7*((1+$J$21)^4)</f>
        <v>81.779384084898837</v>
      </c>
      <c r="K23" s="122"/>
      <c r="L23" s="122"/>
      <c r="M23" s="122"/>
      <c r="N23" s="122"/>
    </row>
    <row r="24" spans="1:14" x14ac:dyDescent="0.45">
      <c r="B24" s="21" t="s">
        <v>903</v>
      </c>
      <c r="C24" s="21"/>
      <c r="D24" s="21"/>
      <c r="E24" s="283">
        <f>$E$6*((1+$E$21)^7)</f>
        <v>39.139310604993199</v>
      </c>
      <c r="F24" s="122"/>
      <c r="G24" s="122"/>
      <c r="H24" s="322" t="s">
        <v>903</v>
      </c>
      <c r="I24" s="322"/>
      <c r="J24" s="283">
        <f>E6*((1+$J$21)^7)</f>
        <v>28.61419186289357</v>
      </c>
      <c r="K24" s="122"/>
      <c r="L24" s="122"/>
      <c r="M24" s="122"/>
      <c r="N24" s="122"/>
    </row>
    <row r="25" spans="1:14" x14ac:dyDescent="0.45">
      <c r="B25" s="21" t="s">
        <v>904</v>
      </c>
      <c r="C25" s="21"/>
      <c r="D25" s="21"/>
      <c r="E25" s="283">
        <f>$E$7*((1+$E$21)^7)</f>
        <v>116.49138901128777</v>
      </c>
      <c r="F25" s="122"/>
      <c r="G25" s="122"/>
      <c r="H25" s="322" t="s">
        <v>904</v>
      </c>
      <c r="I25" s="322"/>
      <c r="J25" s="283">
        <f>E7*((1+$J$21)^7)</f>
        <v>85.165193357256342</v>
      </c>
      <c r="K25" s="122"/>
      <c r="L25" s="122"/>
      <c r="M25" s="122"/>
      <c r="N25" s="122"/>
    </row>
    <row r="27" spans="1:14" x14ac:dyDescent="0.45">
      <c r="A27" s="24" t="s">
        <v>51</v>
      </c>
      <c r="B27" s="21" t="s">
        <v>52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45">
      <c r="A28" s="24"/>
      <c r="B28" s="116" t="s">
        <v>206</v>
      </c>
      <c r="C28" s="18">
        <f>Aux!A3</f>
        <v>1.3622653753834655</v>
      </c>
    </row>
    <row r="29" spans="1:14" x14ac:dyDescent="0.45">
      <c r="A29" s="24"/>
      <c r="B29" s="116" t="s">
        <v>203</v>
      </c>
      <c r="C29" s="18">
        <v>0.19</v>
      </c>
    </row>
    <row r="30" spans="1:14" x14ac:dyDescent="0.45">
      <c r="A30" s="24"/>
      <c r="B30" s="116" t="s">
        <v>204</v>
      </c>
      <c r="C30" s="18">
        <f>Aux!C24</f>
        <v>0.28652337314416421</v>
      </c>
    </row>
    <row r="31" spans="1:14" x14ac:dyDescent="0.45">
      <c r="A31" s="24"/>
      <c r="B31" s="116" t="s">
        <v>205</v>
      </c>
      <c r="C31" s="18">
        <f>Aux!A6</f>
        <v>1.1431566969667646</v>
      </c>
    </row>
    <row r="32" spans="1:14" ht="18" customHeight="1" x14ac:dyDescent="0.45">
      <c r="A32" s="24"/>
      <c r="B32" s="117" t="s">
        <v>700</v>
      </c>
      <c r="C32" s="115">
        <v>0.05</v>
      </c>
      <c r="F32" s="86"/>
      <c r="G32" s="13"/>
    </row>
    <row r="33" spans="1:13" x14ac:dyDescent="0.45">
      <c r="A33" s="24"/>
      <c r="B33" s="116" t="s">
        <v>758</v>
      </c>
      <c r="C33" s="161">
        <f>'Cenario B benchmark va'!C13</f>
        <v>1.2053657957779674E-2</v>
      </c>
    </row>
    <row r="34" spans="1:13" x14ac:dyDescent="0.45">
      <c r="A34" s="24"/>
      <c r="B34" s="116" t="s">
        <v>744</v>
      </c>
      <c r="C34" s="161">
        <f>'Cenario B benchmark va'!D13</f>
        <v>2.5081259979173081E-2</v>
      </c>
    </row>
    <row r="35" spans="1:13" ht="17.45" customHeight="1" x14ac:dyDescent="0.45">
      <c r="A35" s="24"/>
      <c r="B35" s="117" t="s">
        <v>760</v>
      </c>
      <c r="C35" s="115">
        <v>0.06</v>
      </c>
      <c r="F35" s="86"/>
      <c r="G35" s="13"/>
    </row>
    <row r="36" spans="1:13" x14ac:dyDescent="0.45">
      <c r="A36" s="24"/>
      <c r="B36" s="116" t="s">
        <v>745</v>
      </c>
      <c r="C36" s="164" t="str">
        <f>IF(D57&lt;5%,"produto disruptivo", "produto representativo")</f>
        <v>produto disruptivo</v>
      </c>
    </row>
    <row r="37" spans="1:13" x14ac:dyDescent="0.45">
      <c r="A37" s="24"/>
    </row>
    <row r="38" spans="1:13" x14ac:dyDescent="0.45">
      <c r="A38" s="24"/>
      <c r="B38" s="76" t="s">
        <v>832</v>
      </c>
      <c r="C38" s="7" t="s">
        <v>750</v>
      </c>
      <c r="D38" s="7"/>
      <c r="E38" s="7"/>
      <c r="F38" s="7"/>
      <c r="G38" s="7"/>
    </row>
    <row r="39" spans="1:13" x14ac:dyDescent="0.45">
      <c r="A39" s="24"/>
    </row>
    <row r="40" spans="1:13" x14ac:dyDescent="0.45">
      <c r="A40" s="24"/>
      <c r="B40" s="167" t="s">
        <v>747</v>
      </c>
      <c r="C40" s="6" t="s">
        <v>748</v>
      </c>
      <c r="D40" s="6"/>
      <c r="E40" s="6"/>
      <c r="F40" s="6"/>
      <c r="G40" s="6"/>
    </row>
    <row r="41" spans="1:13" ht="14" customHeight="1" x14ac:dyDescent="0.45">
      <c r="A41" s="24"/>
      <c r="B41" s="23"/>
      <c r="C41" s="23"/>
      <c r="D41" s="23"/>
      <c r="E41" s="23"/>
      <c r="F41" s="23"/>
      <c r="G41" s="23"/>
    </row>
    <row r="42" spans="1:13" x14ac:dyDescent="0.45">
      <c r="A42" s="24"/>
      <c r="B42" s="89" t="s">
        <v>185</v>
      </c>
      <c r="C42" s="5" t="s">
        <v>749</v>
      </c>
      <c r="D42" s="5"/>
      <c r="E42" s="5"/>
      <c r="F42" s="5"/>
      <c r="G42" s="5"/>
    </row>
    <row r="43" spans="1:13" ht="14" customHeight="1" x14ac:dyDescent="0.45">
      <c r="A43" s="24"/>
      <c r="B43" s="23"/>
      <c r="C43" s="165"/>
      <c r="D43" s="23"/>
      <c r="E43" s="23"/>
      <c r="F43" s="23"/>
      <c r="G43" s="23"/>
    </row>
    <row r="44" spans="1:13" ht="14" customHeight="1" x14ac:dyDescent="0.45">
      <c r="A44" s="24"/>
      <c r="B44" s="166" t="s">
        <v>746</v>
      </c>
      <c r="C44" s="165"/>
      <c r="D44" s="23"/>
      <c r="E44" s="23"/>
      <c r="F44" s="23"/>
      <c r="G44" s="23"/>
    </row>
    <row r="45" spans="1:13" x14ac:dyDescent="0.45">
      <c r="A45" s="24"/>
    </row>
    <row r="46" spans="1:13" x14ac:dyDescent="0.45">
      <c r="A46" s="24" t="s">
        <v>49</v>
      </c>
      <c r="B46" s="74" t="s">
        <v>230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45">
      <c r="A47" s="24"/>
      <c r="B47" s="75" t="s">
        <v>228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3" x14ac:dyDescent="0.45">
      <c r="A48" s="24"/>
      <c r="B48" s="20" t="s">
        <v>44</v>
      </c>
      <c r="C48" s="25">
        <v>2016</v>
      </c>
      <c r="D48" s="25">
        <v>2017</v>
      </c>
      <c r="E48" s="25">
        <v>2018</v>
      </c>
      <c r="F48" s="25">
        <v>2019</v>
      </c>
      <c r="G48" s="25">
        <v>2020</v>
      </c>
      <c r="H48" s="25">
        <v>2021</v>
      </c>
      <c r="I48" s="25" t="s">
        <v>43</v>
      </c>
      <c r="K48" s="24"/>
      <c r="L48" s="24"/>
    </row>
    <row r="49" spans="1:13" x14ac:dyDescent="0.45">
      <c r="A49" s="24"/>
      <c r="B49" s="106" t="s">
        <v>194</v>
      </c>
      <c r="C49" s="107">
        <v>15398310</v>
      </c>
      <c r="D49" s="107">
        <v>17294138</v>
      </c>
      <c r="E49" s="107">
        <v>17142424</v>
      </c>
      <c r="F49" s="107">
        <v>17371353</v>
      </c>
      <c r="G49" s="107">
        <v>19039949</v>
      </c>
      <c r="H49" s="107">
        <v>27263728</v>
      </c>
      <c r="I49" s="83">
        <f>C49*$C$28</f>
        <v>20976584.55242097</v>
      </c>
      <c r="K49" s="24"/>
      <c r="L49" s="24"/>
    </row>
    <row r="50" spans="1:13" x14ac:dyDescent="0.45">
      <c r="A50" s="24"/>
      <c r="B50" s="139" t="s">
        <v>581</v>
      </c>
      <c r="C50" s="140">
        <v>1381365</v>
      </c>
      <c r="D50" s="141">
        <v>1585114</v>
      </c>
      <c r="E50" s="141">
        <v>1766448</v>
      </c>
      <c r="F50" s="141">
        <v>2181250</v>
      </c>
      <c r="G50" s="141">
        <v>2146685</v>
      </c>
      <c r="H50" s="141">
        <v>2667771</v>
      </c>
      <c r="I50" s="87"/>
      <c r="K50" s="24"/>
      <c r="L50" s="24"/>
    </row>
    <row r="51" spans="1:13" x14ac:dyDescent="0.45">
      <c r="A51" s="24"/>
      <c r="B51" s="109" t="s">
        <v>701</v>
      </c>
      <c r="C51" s="113">
        <f>C50*$C$32</f>
        <v>69068.25</v>
      </c>
      <c r="D51" s="113">
        <f t="shared" ref="D51:H51" si="0">D50*$C$32</f>
        <v>79255.700000000012</v>
      </c>
      <c r="E51" s="113">
        <f t="shared" si="0"/>
        <v>88322.400000000009</v>
      </c>
      <c r="F51" s="113">
        <f t="shared" si="0"/>
        <v>109062.5</v>
      </c>
      <c r="G51" s="113">
        <f t="shared" si="0"/>
        <v>107334.25</v>
      </c>
      <c r="H51" s="113">
        <f t="shared" si="0"/>
        <v>133388.55000000002</v>
      </c>
      <c r="I51" s="11"/>
      <c r="K51" s="24"/>
      <c r="L51" s="24"/>
    </row>
    <row r="52" spans="1:13" x14ac:dyDescent="0.45">
      <c r="A52" s="24"/>
      <c r="C52" s="14"/>
      <c r="D52" s="14"/>
      <c r="E52" s="14"/>
      <c r="F52" s="14"/>
      <c r="G52" s="14"/>
      <c r="H52" s="24"/>
      <c r="I52" s="24"/>
      <c r="K52" s="24"/>
      <c r="L52" s="24"/>
    </row>
    <row r="53" spans="1:13" x14ac:dyDescent="0.45">
      <c r="A53" s="24"/>
      <c r="B53" s="75" t="s">
        <v>184</v>
      </c>
      <c r="C53" s="24"/>
      <c r="D53" s="24"/>
      <c r="E53" s="24"/>
      <c r="F53" s="24"/>
      <c r="G53" s="90"/>
      <c r="H53" s="24"/>
      <c r="J53" s="90"/>
      <c r="K53" s="24"/>
      <c r="L53" s="24"/>
    </row>
    <row r="54" spans="1:13" x14ac:dyDescent="0.45">
      <c r="A54" s="24"/>
      <c r="B54" s="20" t="s">
        <v>44</v>
      </c>
      <c r="C54" s="25" t="s">
        <v>43</v>
      </c>
      <c r="D54" s="25">
        <v>2021</v>
      </c>
      <c r="E54" s="25" t="s">
        <v>48</v>
      </c>
      <c r="F54" s="25" t="s">
        <v>39</v>
      </c>
      <c r="G54" s="90"/>
      <c r="H54" s="90"/>
      <c r="J54" s="90"/>
      <c r="K54" s="24"/>
      <c r="L54" s="24"/>
    </row>
    <row r="55" spans="1:13" x14ac:dyDescent="0.45">
      <c r="A55" s="24"/>
      <c r="B55" s="22" t="s">
        <v>702</v>
      </c>
      <c r="C55" s="84">
        <f>C49*$C$31*$C$30/1000</f>
        <v>5043.5795933670697</v>
      </c>
      <c r="D55" s="84">
        <f>H49*$C$29/1000</f>
        <v>5180.1083200000003</v>
      </c>
      <c r="E55" s="94">
        <f>D55-C55</f>
        <v>136.52872663293056</v>
      </c>
      <c r="F55" s="95">
        <f>(D55/C55)^(1/5)-1</f>
        <v>5.356273913971199E-3</v>
      </c>
      <c r="G55" s="90"/>
      <c r="H55" s="90"/>
      <c r="I55" s="90"/>
      <c r="J55" s="14"/>
      <c r="M55" s="14"/>
    </row>
    <row r="56" spans="1:13" x14ac:dyDescent="0.45">
      <c r="A56" s="24"/>
      <c r="B56" s="109" t="s">
        <v>701</v>
      </c>
      <c r="C56" s="84">
        <f>C51*$C$31*$C$30/1000</f>
        <v>22.622691467412665</v>
      </c>
      <c r="D56" s="84">
        <f>H51*$C$29/1000</f>
        <v>25.343824500000004</v>
      </c>
      <c r="E56" s="94">
        <f>D56-C56</f>
        <v>2.7211330325873391</v>
      </c>
      <c r="F56" s="96">
        <f>(D56/C56)^(1/5)-1</f>
        <v>2.2976308873912554E-2</v>
      </c>
      <c r="G56" s="24"/>
      <c r="H56" s="24"/>
      <c r="I56" s="14"/>
      <c r="J56" s="14"/>
      <c r="M56" s="14"/>
    </row>
    <row r="57" spans="1:13" x14ac:dyDescent="0.45">
      <c r="A57" s="24"/>
      <c r="C57" s="131">
        <f>C56/C55</f>
        <v>4.4854435324395989E-3</v>
      </c>
      <c r="D57" s="131">
        <f>D56/D55</f>
        <v>4.8925279037408242E-3</v>
      </c>
      <c r="E57" s="14"/>
      <c r="F57" s="14"/>
      <c r="G57" s="14"/>
      <c r="H57" s="14"/>
      <c r="I57" s="14"/>
      <c r="J57" s="14"/>
      <c r="M57" s="14"/>
    </row>
    <row r="58" spans="1:13" x14ac:dyDescent="0.45">
      <c r="C58" s="14"/>
      <c r="D58" s="14"/>
      <c r="E58" s="14"/>
      <c r="F58" s="14"/>
      <c r="G58" s="14"/>
      <c r="H58" s="14"/>
    </row>
    <row r="59" spans="1:13" x14ac:dyDescent="0.45">
      <c r="A59" s="24" t="s">
        <v>50</v>
      </c>
      <c r="B59" s="74" t="s">
        <v>786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45">
      <c r="A60" s="24"/>
      <c r="B60" s="75" t="s">
        <v>783</v>
      </c>
      <c r="C60" s="127"/>
      <c r="D60" s="127"/>
      <c r="E60" s="127"/>
      <c r="F60" s="127"/>
      <c r="G60" s="127"/>
      <c r="H60" s="127"/>
      <c r="I60" s="124"/>
      <c r="J60" s="24"/>
      <c r="K60" s="24"/>
    </row>
    <row r="61" spans="1:13" x14ac:dyDescent="0.45">
      <c r="A61" s="24"/>
      <c r="B61" s="20" t="s">
        <v>44</v>
      </c>
      <c r="C61" s="25">
        <v>2016</v>
      </c>
      <c r="D61" s="25">
        <v>2017</v>
      </c>
      <c r="E61" s="25">
        <v>2018</v>
      </c>
      <c r="F61" s="25">
        <v>2019</v>
      </c>
      <c r="G61" s="25">
        <v>2020</v>
      </c>
      <c r="H61" s="25">
        <v>2021</v>
      </c>
      <c r="J61" s="183" t="s">
        <v>782</v>
      </c>
      <c r="K61" s="24"/>
    </row>
    <row r="62" spans="1:13" x14ac:dyDescent="0.45">
      <c r="A62" s="24"/>
      <c r="B62" s="106" t="s">
        <v>194</v>
      </c>
      <c r="C62" s="78">
        <f>VLOOKUP($B62,'Dados IBGE - VPB'!$A$4:$G$423,2,FALSE)</f>
        <v>73150745</v>
      </c>
      <c r="D62" s="78">
        <f>VLOOKUP($B62,'Dados IBGE - VPB'!$A$4:$G$423,3,FALSE)</f>
        <v>86771242</v>
      </c>
      <c r="E62" s="78">
        <f>VLOOKUP($B62,'Dados IBGE - VPB'!$A$4:$G$423,4,FALSE)</f>
        <v>99507283</v>
      </c>
      <c r="F62" s="78">
        <f>VLOOKUP($B62,'Dados IBGE - VPB'!$A$4:$G$423,5,FALSE)</f>
        <v>100390273</v>
      </c>
      <c r="G62" s="78">
        <f>VLOOKUP($B62,'Dados IBGE - VPB'!$A$4:$G$423,6,FALSE)</f>
        <v>108491943</v>
      </c>
      <c r="H62" s="78">
        <f>VLOOKUP($B62,'Dados IBGE - VPB'!$A$4:$G$423,7,FALSE)</f>
        <v>140418767</v>
      </c>
      <c r="J62" s="11">
        <f t="shared" ref="J62:J63" si="1">H62*$C$29/1000</f>
        <v>26679.565730000002</v>
      </c>
      <c r="K62" s="24"/>
    </row>
    <row r="63" spans="1:13" x14ac:dyDescent="0.45">
      <c r="A63" s="24"/>
      <c r="B63" s="139" t="s">
        <v>581</v>
      </c>
      <c r="C63" s="186">
        <f>VLOOKUP($B63,'Dados IBGE - VPB'!$A$4:$G$423,3,FALSE)</f>
        <v>4256146</v>
      </c>
      <c r="D63" s="186">
        <f>VLOOKUP($B63,'Dados IBGE - VPB'!$A$4:$G$423,3,FALSE)</f>
        <v>4256146</v>
      </c>
      <c r="E63" s="186">
        <f>VLOOKUP($B63,'Dados IBGE - VPB'!$A$4:$G$423,4,FALSE)</f>
        <v>5320165</v>
      </c>
      <c r="F63" s="186">
        <f>VLOOKUP($B63,'Dados IBGE - VPB'!$A$4:$G$423,5,FALSE)</f>
        <v>5638667</v>
      </c>
      <c r="G63" s="186">
        <f>VLOOKUP($B63,'Dados IBGE - VPB'!$A$4:$G$423,6,FALSE)</f>
        <v>5886795</v>
      </c>
      <c r="H63" s="186">
        <f>VLOOKUP($B63,'Dados IBGE - VPB'!$A$4:$G$423,7,FALSE)</f>
        <v>7940159</v>
      </c>
      <c r="J63" s="11">
        <f t="shared" si="1"/>
        <v>1508.63021</v>
      </c>
      <c r="K63" s="24"/>
    </row>
    <row r="64" spans="1:13" x14ac:dyDescent="0.45">
      <c r="A64" s="24"/>
      <c r="B64" s="109" t="s">
        <v>701</v>
      </c>
      <c r="C64" s="113"/>
      <c r="D64" s="113"/>
      <c r="E64" s="113">
        <f t="shared" ref="E64:H64" si="2">E63*$C$32</f>
        <v>266008.25</v>
      </c>
      <c r="F64" s="113">
        <f t="shared" si="2"/>
        <v>281933.35000000003</v>
      </c>
      <c r="G64" s="113">
        <f t="shared" si="2"/>
        <v>294339.75</v>
      </c>
      <c r="H64" s="113">
        <f t="shared" si="2"/>
        <v>397007.95</v>
      </c>
      <c r="J64" s="187">
        <f>H64*$C$29/1000</f>
        <v>75.431510500000002</v>
      </c>
      <c r="K64" s="24"/>
    </row>
    <row r="65" spans="1:13" x14ac:dyDescent="0.45">
      <c r="A65" s="24"/>
      <c r="B65" s="109"/>
      <c r="C65" s="130"/>
      <c r="D65" s="130"/>
      <c r="E65" s="130"/>
      <c r="F65" s="130"/>
      <c r="G65" s="130"/>
      <c r="H65" s="130"/>
      <c r="I65" s="11"/>
      <c r="J65" s="182"/>
      <c r="K65" s="24"/>
    </row>
    <row r="66" spans="1:13" x14ac:dyDescent="0.45">
      <c r="A66" s="24" t="s">
        <v>784</v>
      </c>
      <c r="B66" s="21" t="s">
        <v>877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3" x14ac:dyDescent="0.45">
      <c r="B67" s="73" t="s">
        <v>229</v>
      </c>
    </row>
    <row r="68" spans="1:13" x14ac:dyDescent="0.45">
      <c r="B68" s="73"/>
    </row>
    <row r="69" spans="1:13" x14ac:dyDescent="0.45">
      <c r="B69" t="s">
        <v>817</v>
      </c>
      <c r="C69">
        <f>2026-2021</f>
        <v>5</v>
      </c>
    </row>
    <row r="70" spans="1:13" x14ac:dyDescent="0.45">
      <c r="B70" t="s">
        <v>818</v>
      </c>
      <c r="C70">
        <f>2030-2026</f>
        <v>4</v>
      </c>
    </row>
    <row r="71" spans="1:13" x14ac:dyDescent="0.45">
      <c r="B71" s="73"/>
    </row>
    <row r="72" spans="1:13" x14ac:dyDescent="0.45">
      <c r="B72" s="1" t="s">
        <v>858</v>
      </c>
    </row>
    <row r="73" spans="1:13" x14ac:dyDescent="0.45">
      <c r="B73" s="270" t="s">
        <v>852</v>
      </c>
      <c r="C73" s="271"/>
      <c r="D73" s="271"/>
      <c r="E73" s="271"/>
    </row>
    <row r="74" spans="1:13" x14ac:dyDescent="0.45">
      <c r="B74" s="23" t="s">
        <v>862</v>
      </c>
      <c r="C74" s="144">
        <f>F55</f>
        <v>5.356273913971199E-3</v>
      </c>
      <c r="D74" s="85"/>
    </row>
    <row r="75" spans="1:13" x14ac:dyDescent="0.45">
      <c r="B75" s="23" t="s">
        <v>863</v>
      </c>
      <c r="C75" s="87">
        <f>D56*((1+C74)^C69)</f>
        <v>26.029876940124865</v>
      </c>
      <c r="D75" s="98"/>
      <c r="E75" s="98"/>
    </row>
    <row r="76" spans="1:13" x14ac:dyDescent="0.45">
      <c r="B76" s="23" t="s">
        <v>864</v>
      </c>
      <c r="C76" s="178">
        <f>J64*((1+C74)^C69)</f>
        <v>77.473426937703749</v>
      </c>
      <c r="D76" s="85"/>
    </row>
    <row r="77" spans="1:13" x14ac:dyDescent="0.45">
      <c r="B77" s="23"/>
      <c r="C77" s="178"/>
      <c r="D77" s="85"/>
    </row>
    <row r="78" spans="1:13" x14ac:dyDescent="0.45">
      <c r="B78" s="1" t="s">
        <v>859</v>
      </c>
    </row>
    <row r="79" spans="1:13" x14ac:dyDescent="0.45">
      <c r="B79" s="270" t="s">
        <v>852</v>
      </c>
      <c r="C79" s="271"/>
      <c r="D79" s="271"/>
      <c r="E79" s="271"/>
    </row>
    <row r="80" spans="1:13" x14ac:dyDescent="0.45">
      <c r="B80" s="23" t="s">
        <v>862</v>
      </c>
      <c r="C80" s="144">
        <f>C74</f>
        <v>5.356273913971199E-3</v>
      </c>
      <c r="D80" s="85"/>
    </row>
    <row r="81" spans="2:5" x14ac:dyDescent="0.45">
      <c r="B81" s="23" t="s">
        <v>880</v>
      </c>
      <c r="C81" s="87">
        <f>C75*((1+C80)^C70)</f>
        <v>26.592066296434989</v>
      </c>
      <c r="D81" s="98"/>
      <c r="E81" s="98"/>
    </row>
    <row r="82" spans="2:5" x14ac:dyDescent="0.45">
      <c r="B82" s="23" t="s">
        <v>881</v>
      </c>
      <c r="C82" s="178">
        <f>C76*((1+C80)^C70)</f>
        <v>79.146686328112466</v>
      </c>
      <c r="D82" s="85"/>
    </row>
    <row r="83" spans="2:5" x14ac:dyDescent="0.45">
      <c r="B83" s="23"/>
      <c r="C83" s="178"/>
      <c r="D83" s="85"/>
    </row>
    <row r="84" spans="2:5" x14ac:dyDescent="0.45">
      <c r="B84" s="1" t="s">
        <v>860</v>
      </c>
    </row>
    <row r="85" spans="2:5" x14ac:dyDescent="0.45">
      <c r="B85" s="270" t="s">
        <v>865</v>
      </c>
      <c r="C85" s="271"/>
      <c r="D85" s="271"/>
      <c r="E85" s="271"/>
    </row>
    <row r="86" spans="2:5" x14ac:dyDescent="0.45">
      <c r="B86" s="23" t="s">
        <v>866</v>
      </c>
      <c r="C86" s="144">
        <f>C74+C33</f>
        <v>1.7409931871750873E-2</v>
      </c>
      <c r="D86" s="85"/>
    </row>
    <row r="87" spans="2:5" ht="17" customHeight="1" x14ac:dyDescent="0.45">
      <c r="B87" s="23" t="s">
        <v>880</v>
      </c>
      <c r="C87" s="248">
        <f>C75*((1+C86)^C70)</f>
        <v>27.890481140819798</v>
      </c>
      <c r="D87" s="98"/>
      <c r="E87" s="98"/>
    </row>
    <row r="88" spans="2:5" ht="17" customHeight="1" x14ac:dyDescent="0.45">
      <c r="B88" s="23" t="s">
        <v>881</v>
      </c>
      <c r="C88" s="178">
        <f>C76*((1+C86)^C70)</f>
        <v>83.011193556197497</v>
      </c>
      <c r="D88" s="85"/>
    </row>
    <row r="89" spans="2:5" ht="17" customHeight="1" x14ac:dyDescent="0.45"/>
    <row r="90" spans="2:5" ht="17" customHeight="1" x14ac:dyDescent="0.45">
      <c r="B90" s="274" t="s">
        <v>849</v>
      </c>
      <c r="C90" s="274" t="str">
        <f>C36</f>
        <v>produto disruptivo</v>
      </c>
    </row>
    <row r="91" spans="2:5" ht="17" customHeight="1" x14ac:dyDescent="0.45"/>
    <row r="92" spans="2:5" x14ac:dyDescent="0.45">
      <c r="B92" s="1" t="s">
        <v>861</v>
      </c>
    </row>
    <row r="93" spans="2:5" x14ac:dyDescent="0.45">
      <c r="B93" s="270" t="s">
        <v>882</v>
      </c>
      <c r="C93" s="271"/>
      <c r="D93" s="271"/>
      <c r="E93" s="271"/>
    </row>
    <row r="94" spans="2:5" ht="17" customHeight="1" x14ac:dyDescent="0.45">
      <c r="B94" s="23" t="s">
        <v>917</v>
      </c>
      <c r="C94" s="144">
        <f>IF(AND((C90="produto disruptivo"),(C35&gt;(C74+C34))),C35,(C74+C34))</f>
        <v>0.06</v>
      </c>
      <c r="D94" s="85"/>
    </row>
    <row r="95" spans="2:5" ht="17" customHeight="1" x14ac:dyDescent="0.45">
      <c r="B95" s="23" t="s">
        <v>880</v>
      </c>
      <c r="C95" s="248">
        <f>C75*((1+C94)^C70)</f>
        <v>32.862119908542951</v>
      </c>
      <c r="D95" s="282"/>
    </row>
    <row r="96" spans="2:5" ht="17" customHeight="1" x14ac:dyDescent="0.45">
      <c r="B96" s="23" t="s">
        <v>881</v>
      </c>
      <c r="C96" s="178">
        <f>C76*((1+C94)^C70)</f>
        <v>97.808416521094358</v>
      </c>
      <c r="D96" s="282"/>
      <c r="E96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1304-4BE7-47A1-8AC9-2D2691FBC8C1}">
  <sheetPr>
    <tabColor theme="4" tint="-0.499984740745262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16A3-9831-4D5F-A05D-07EC96968E94}">
  <dimension ref="A1:F69"/>
  <sheetViews>
    <sheetView workbookViewId="0">
      <selection activeCell="A37" sqref="A37"/>
    </sheetView>
  </sheetViews>
  <sheetFormatPr defaultRowHeight="14.25" x14ac:dyDescent="0.45"/>
  <cols>
    <col min="1" max="1" width="34.6640625" customWidth="1"/>
  </cols>
  <sheetData>
    <row r="1" spans="1:6" x14ac:dyDescent="0.45">
      <c r="A1" s="443" t="s">
        <v>41</v>
      </c>
      <c r="B1" s="445" t="s">
        <v>1129</v>
      </c>
      <c r="C1" s="445"/>
      <c r="D1" s="445"/>
      <c r="E1" s="445"/>
      <c r="F1" s="445"/>
    </row>
    <row r="2" spans="1:6" x14ac:dyDescent="0.45">
      <c r="A2" s="444"/>
      <c r="B2" s="442" t="s">
        <v>1059</v>
      </c>
      <c r="C2" s="442" t="s">
        <v>1060</v>
      </c>
      <c r="D2" s="442" t="s">
        <v>1061</v>
      </c>
      <c r="E2" s="442" t="s">
        <v>1062</v>
      </c>
      <c r="F2" s="442" t="s">
        <v>1063</v>
      </c>
    </row>
    <row r="3" spans="1:6" x14ac:dyDescent="0.45">
      <c r="A3" t="s">
        <v>1064</v>
      </c>
      <c r="B3" s="446">
        <v>1.760769977897453</v>
      </c>
      <c r="C3" s="446">
        <v>0.19067374548648619</v>
      </c>
      <c r="D3" s="446">
        <v>0.45027365047237228</v>
      </c>
      <c r="E3" s="446">
        <v>4.4404141817576223E-2</v>
      </c>
      <c r="F3" s="446">
        <v>19.175691935703561</v>
      </c>
    </row>
    <row r="4" spans="1:6" x14ac:dyDescent="0.45">
      <c r="A4" t="s">
        <v>1065</v>
      </c>
      <c r="B4" s="446">
        <v>1.8711644314320159</v>
      </c>
      <c r="C4" s="446">
        <v>0.27625862835794912</v>
      </c>
      <c r="D4" s="446">
        <v>0.57467513088876021</v>
      </c>
      <c r="E4" s="446">
        <v>4.7177816288627238E-2</v>
      </c>
      <c r="F4" s="446">
        <v>42.432605575500403</v>
      </c>
    </row>
    <row r="5" spans="1:6" x14ac:dyDescent="0.45">
      <c r="A5" t="s">
        <v>1066</v>
      </c>
      <c r="B5" s="446">
        <v>1.4113805744181529</v>
      </c>
      <c r="C5" s="446">
        <v>0.13523396673314819</v>
      </c>
      <c r="D5" s="446">
        <v>0.48246555789162449</v>
      </c>
      <c r="E5" s="446">
        <v>3.4868276080687738E-2</v>
      </c>
      <c r="F5" s="446">
        <v>25.543560395043961</v>
      </c>
    </row>
    <row r="6" spans="1:6" x14ac:dyDescent="0.45">
      <c r="A6" t="s">
        <v>1067</v>
      </c>
      <c r="B6" s="446">
        <v>1.8993516489707261</v>
      </c>
      <c r="C6" s="446">
        <v>0.3568783244344213</v>
      </c>
      <c r="D6" s="446">
        <v>0.39887604955678801</v>
      </c>
      <c r="E6" s="446">
        <v>7.351018552554632E-2</v>
      </c>
      <c r="F6" s="446">
        <v>10.15738190436282</v>
      </c>
    </row>
    <row r="7" spans="1:6" x14ac:dyDescent="0.45">
      <c r="A7" t="s">
        <v>1068</v>
      </c>
      <c r="B7" s="446">
        <v>1.678811591892909</v>
      </c>
      <c r="C7" s="446">
        <v>0.20408867693596819</v>
      </c>
      <c r="D7" s="446">
        <v>0.23376474455827101</v>
      </c>
      <c r="E7" s="446">
        <v>5.0918216812201357E-2</v>
      </c>
      <c r="F7" s="446">
        <v>4.1669316456148042</v>
      </c>
    </row>
    <row r="8" spans="1:6" x14ac:dyDescent="0.45">
      <c r="A8" t="s">
        <v>1069</v>
      </c>
      <c r="B8" s="446">
        <v>1.769286937492156</v>
      </c>
      <c r="C8" s="446">
        <v>0.18067684100975609</v>
      </c>
      <c r="D8" s="446">
        <v>0.21254663152244641</v>
      </c>
      <c r="E8" s="446">
        <v>4.3832961335725777E-2</v>
      </c>
      <c r="F8" s="446">
        <v>4.8637638280711588</v>
      </c>
    </row>
    <row r="9" spans="1:6" x14ac:dyDescent="0.45">
      <c r="A9" t="s">
        <v>1070</v>
      </c>
      <c r="B9" s="446">
        <v>1.880276799550062</v>
      </c>
      <c r="C9" s="446">
        <v>0.29027960954712978</v>
      </c>
      <c r="D9" s="446">
        <v>0.32113578668164139</v>
      </c>
      <c r="E9" s="446">
        <v>7.1855983458781345E-2</v>
      </c>
      <c r="F9" s="446">
        <v>6.3489881116105922</v>
      </c>
    </row>
    <row r="10" spans="1:6" x14ac:dyDescent="0.45">
      <c r="A10" t="s">
        <v>1071</v>
      </c>
      <c r="B10" s="446">
        <v>2.5756441848530471</v>
      </c>
      <c r="C10" s="446">
        <v>0.36450446747347098</v>
      </c>
      <c r="D10" s="446">
        <v>0.50890315775431405</v>
      </c>
      <c r="E10" s="446">
        <v>6.2717920990291914E-2</v>
      </c>
      <c r="F10" s="446">
        <v>22.74346256152052</v>
      </c>
    </row>
    <row r="11" spans="1:6" x14ac:dyDescent="0.45">
      <c r="A11" t="s">
        <v>1072</v>
      </c>
      <c r="B11" s="446">
        <v>2.476744585024361</v>
      </c>
      <c r="C11" s="446">
        <v>0.33940664069262177</v>
      </c>
      <c r="D11" s="446">
        <v>0.5032149702446238</v>
      </c>
      <c r="E11" s="446">
        <v>8.7285139358299652E-2</v>
      </c>
      <c r="F11" s="446">
        <v>16.39830000016153</v>
      </c>
    </row>
    <row r="12" spans="1:6" x14ac:dyDescent="0.45">
      <c r="A12" t="s">
        <v>1073</v>
      </c>
      <c r="B12" s="446">
        <v>2.374202385779276</v>
      </c>
      <c r="C12" s="446">
        <v>0.3380472304242782</v>
      </c>
      <c r="D12" s="446">
        <v>0.45803143572673011</v>
      </c>
      <c r="E12" s="446">
        <v>7.1071309123980062E-2</v>
      </c>
      <c r="F12" s="446">
        <v>15.36214894291213</v>
      </c>
    </row>
    <row r="13" spans="1:6" x14ac:dyDescent="0.45">
      <c r="A13" t="s">
        <v>1074</v>
      </c>
      <c r="B13" s="446">
        <v>2.307745226982084</v>
      </c>
      <c r="C13" s="446">
        <v>0.374305364141024</v>
      </c>
      <c r="D13" s="446">
        <v>0.43025385966643431</v>
      </c>
      <c r="E13" s="446">
        <v>0.14294999716340501</v>
      </c>
      <c r="F13" s="446">
        <v>10.488854104598561</v>
      </c>
    </row>
    <row r="14" spans="1:6" x14ac:dyDescent="0.45">
      <c r="A14" t="s">
        <v>1075</v>
      </c>
      <c r="B14" s="446">
        <v>2.2812479870069731</v>
      </c>
      <c r="C14" s="446">
        <v>0.31093619088132851</v>
      </c>
      <c r="D14" s="446">
        <v>0.45131963630691291</v>
      </c>
      <c r="E14" s="446">
        <v>9.5929670195052802E-2</v>
      </c>
      <c r="F14" s="446">
        <v>13.298866902798069</v>
      </c>
    </row>
    <row r="15" spans="1:6" x14ac:dyDescent="0.45">
      <c r="A15" t="s">
        <v>1076</v>
      </c>
      <c r="B15" s="446">
        <v>2.0230213767688578</v>
      </c>
      <c r="C15" s="446">
        <v>0.37898451396816679</v>
      </c>
      <c r="D15" s="446">
        <v>0.45983582058785788</v>
      </c>
      <c r="E15" s="446">
        <v>7.5536788988255665E-2</v>
      </c>
      <c r="F15" s="446">
        <v>19.560493364176399</v>
      </c>
    </row>
    <row r="16" spans="1:6" x14ac:dyDescent="0.45">
      <c r="A16" t="s">
        <v>1077</v>
      </c>
      <c r="B16" s="446">
        <v>1.8793864878087621</v>
      </c>
      <c r="C16" s="446">
        <v>0.46025892623582748</v>
      </c>
      <c r="D16" s="446">
        <v>0.59676729067606848</v>
      </c>
      <c r="E16" s="446">
        <v>5.9156886586556483E-2</v>
      </c>
      <c r="F16" s="446">
        <v>32.879997822805016</v>
      </c>
    </row>
    <row r="17" spans="1:6" x14ac:dyDescent="0.45">
      <c r="A17" t="s">
        <v>1078</v>
      </c>
      <c r="B17" s="446">
        <v>2.0165352637370271</v>
      </c>
      <c r="C17" s="446">
        <v>0.47624606854669532</v>
      </c>
      <c r="D17" s="446">
        <v>0.53218847293521176</v>
      </c>
      <c r="E17" s="446">
        <v>6.5778399160831377E-2</v>
      </c>
      <c r="F17" s="446">
        <v>19.253069706737129</v>
      </c>
    </row>
    <row r="18" spans="1:6" x14ac:dyDescent="0.45">
      <c r="A18" t="s">
        <v>1079</v>
      </c>
      <c r="B18" s="446">
        <v>2.0022703642411588</v>
      </c>
      <c r="C18" s="446">
        <v>0.38298250649748289</v>
      </c>
      <c r="D18" s="446">
        <v>0.49710181927998909</v>
      </c>
      <c r="E18" s="446">
        <v>5.4039721643857411E-2</v>
      </c>
      <c r="F18" s="446">
        <v>19.03925174042584</v>
      </c>
    </row>
    <row r="19" spans="1:6" x14ac:dyDescent="0.45">
      <c r="A19" t="s">
        <v>1080</v>
      </c>
      <c r="B19" s="446">
        <v>2.0858014977391952</v>
      </c>
      <c r="C19" s="446">
        <v>0.3344710950967365</v>
      </c>
      <c r="D19" s="446">
        <v>0.38671865844147191</v>
      </c>
      <c r="E19" s="446">
        <v>6.4060379394109024E-2</v>
      </c>
      <c r="F19" s="446">
        <v>8.7265852178697365</v>
      </c>
    </row>
    <row r="20" spans="1:6" x14ac:dyDescent="0.45">
      <c r="A20" t="s">
        <v>1081</v>
      </c>
      <c r="B20" s="446">
        <v>1.82188029695702</v>
      </c>
      <c r="C20" s="446">
        <v>0.46887579724110362</v>
      </c>
      <c r="D20" s="446">
        <v>0.52274600541197924</v>
      </c>
      <c r="E20" s="446">
        <v>6.5468308671545461E-2</v>
      </c>
      <c r="F20" s="446">
        <v>14.30298536856988</v>
      </c>
    </row>
    <row r="21" spans="1:6" x14ac:dyDescent="0.45">
      <c r="A21" t="s">
        <v>1082</v>
      </c>
      <c r="B21" s="446">
        <v>2.3798124104070761</v>
      </c>
      <c r="C21" s="446">
        <v>0.16702403695650489</v>
      </c>
      <c r="D21" s="446">
        <v>0.20009782226814149</v>
      </c>
      <c r="E21" s="446">
        <v>0.19184642439923291</v>
      </c>
      <c r="F21" s="446">
        <v>4.0366446685466038</v>
      </c>
    </row>
    <row r="22" spans="1:6" x14ac:dyDescent="0.45">
      <c r="A22" t="s">
        <v>219</v>
      </c>
      <c r="B22" s="446">
        <v>2.3391741785700049</v>
      </c>
      <c r="C22" s="446">
        <v>0.33818417185160271</v>
      </c>
      <c r="D22" s="446">
        <v>0.47415510915088538</v>
      </c>
      <c r="E22" s="446">
        <v>0.10993063031173871</v>
      </c>
      <c r="F22" s="446">
        <v>13.63931930144785</v>
      </c>
    </row>
    <row r="23" spans="1:6" x14ac:dyDescent="0.45">
      <c r="A23" t="s">
        <v>1083</v>
      </c>
      <c r="B23" s="446">
        <v>1.9877349745432209</v>
      </c>
      <c r="C23" s="446">
        <v>0.22578414293702509</v>
      </c>
      <c r="D23" s="446">
        <v>0.2542677609656902</v>
      </c>
      <c r="E23" s="446">
        <v>0.1105991340334853</v>
      </c>
      <c r="F23" s="446">
        <v>4.8778454592998042</v>
      </c>
    </row>
    <row r="24" spans="1:6" x14ac:dyDescent="0.45">
      <c r="A24" t="s">
        <v>1084</v>
      </c>
      <c r="B24" s="446">
        <v>1.982667184985929</v>
      </c>
      <c r="C24" s="446">
        <v>0.27787079287864641</v>
      </c>
      <c r="D24" s="446">
        <v>0.31393307129248033</v>
      </c>
      <c r="E24" s="446">
        <v>8.8798314378515167E-2</v>
      </c>
      <c r="F24" s="446">
        <v>6.0829333383635644</v>
      </c>
    </row>
    <row r="25" spans="1:6" x14ac:dyDescent="0.45">
      <c r="A25" t="s">
        <v>1085</v>
      </c>
      <c r="B25" s="446">
        <v>2.1326859984611</v>
      </c>
      <c r="C25" s="446">
        <v>0.33035370885730558</v>
      </c>
      <c r="D25" s="446">
        <v>0.39020289460816421</v>
      </c>
      <c r="E25" s="446">
        <v>8.2584598841928258E-2</v>
      </c>
      <c r="F25" s="446">
        <v>9.4709886176890183</v>
      </c>
    </row>
    <row r="26" spans="1:6" x14ac:dyDescent="0.45">
      <c r="A26" t="s">
        <v>1086</v>
      </c>
      <c r="B26" s="446">
        <v>1.682166483420549</v>
      </c>
      <c r="C26" s="446">
        <v>0.33813250521408239</v>
      </c>
      <c r="D26" s="446">
        <v>0.37600792431188612</v>
      </c>
      <c r="E26" s="446">
        <v>4.3913127054697569E-2</v>
      </c>
      <c r="F26" s="446">
        <v>6.2422697298048959</v>
      </c>
    </row>
    <row r="27" spans="1:6" x14ac:dyDescent="0.45">
      <c r="A27" t="s">
        <v>1087</v>
      </c>
      <c r="B27" s="446">
        <v>2.033802819451644</v>
      </c>
      <c r="C27" s="446">
        <v>0.3626803772158933</v>
      </c>
      <c r="D27" s="446">
        <v>0.39664364637069832</v>
      </c>
      <c r="E27" s="446">
        <v>8.0260727964774431E-2</v>
      </c>
      <c r="F27" s="446">
        <v>8.6492274010058363</v>
      </c>
    </row>
    <row r="28" spans="1:6" x14ac:dyDescent="0.45">
      <c r="A28" t="s">
        <v>1088</v>
      </c>
      <c r="B28" s="446">
        <v>2.1487088453727869</v>
      </c>
      <c r="C28" s="446">
        <v>0.43859886277524418</v>
      </c>
      <c r="D28" s="446">
        <v>0.48758082511359457</v>
      </c>
      <c r="E28" s="446">
        <v>8.1041763474353615E-2</v>
      </c>
      <c r="F28" s="446">
        <v>13.05739178029396</v>
      </c>
    </row>
    <row r="29" spans="1:6" x14ac:dyDescent="0.45">
      <c r="A29" t="s">
        <v>1089</v>
      </c>
      <c r="B29" s="446">
        <v>2.2340746118772659</v>
      </c>
      <c r="C29" s="446">
        <v>0.30197242535109581</v>
      </c>
      <c r="D29" s="446">
        <v>0.34257572357920502</v>
      </c>
      <c r="E29" s="446">
        <v>7.2902106831932476E-2</v>
      </c>
      <c r="F29" s="446">
        <v>7.2931841263667287</v>
      </c>
    </row>
    <row r="30" spans="1:6" x14ac:dyDescent="0.45">
      <c r="A30" t="s">
        <v>1090</v>
      </c>
      <c r="B30" s="446">
        <v>2.1351050265278539</v>
      </c>
      <c r="C30" s="446">
        <v>0.28468752921384621</v>
      </c>
      <c r="D30" s="446">
        <v>0.32118054862007561</v>
      </c>
      <c r="E30" s="446">
        <v>7.7234245753767417E-2</v>
      </c>
      <c r="F30" s="446">
        <v>7.6108604768134978</v>
      </c>
    </row>
    <row r="31" spans="1:6" x14ac:dyDescent="0.45">
      <c r="A31" t="s">
        <v>1091</v>
      </c>
      <c r="B31" s="446">
        <v>2.0267946028591441</v>
      </c>
      <c r="C31" s="446">
        <v>0.39282130640125262</v>
      </c>
      <c r="D31" s="446">
        <v>0.44756614450838561</v>
      </c>
      <c r="E31" s="446">
        <v>7.1676037085056418E-2</v>
      </c>
      <c r="F31" s="446">
        <v>11.459949773972919</v>
      </c>
    </row>
    <row r="32" spans="1:6" x14ac:dyDescent="0.45">
      <c r="A32" t="s">
        <v>197</v>
      </c>
      <c r="B32" s="446">
        <v>1.656178048176828</v>
      </c>
      <c r="C32" s="446">
        <v>0.23401795195940181</v>
      </c>
      <c r="D32" s="446">
        <v>0.26081303254833399</v>
      </c>
      <c r="E32" s="446">
        <v>0.1085876885520949</v>
      </c>
      <c r="F32" s="446">
        <v>5.3951746816050798</v>
      </c>
    </row>
    <row r="33" spans="1:6" x14ac:dyDescent="0.45">
      <c r="A33" t="s">
        <v>1092</v>
      </c>
      <c r="B33" s="446">
        <v>2.0384290138662919</v>
      </c>
      <c r="C33" s="446">
        <v>0.36894541937115072</v>
      </c>
      <c r="D33" s="446">
        <v>0.40132246320615522</v>
      </c>
      <c r="E33" s="446">
        <v>8.6266841152312077E-2</v>
      </c>
      <c r="F33" s="446">
        <v>8.2320163053420146</v>
      </c>
    </row>
    <row r="34" spans="1:6" x14ac:dyDescent="0.45">
      <c r="A34" t="s">
        <v>1093</v>
      </c>
      <c r="B34" s="446">
        <v>1.88897226363988</v>
      </c>
      <c r="C34" s="446">
        <v>0.39344313565962319</v>
      </c>
      <c r="D34" s="446">
        <v>0.42463410633019061</v>
      </c>
      <c r="E34" s="446">
        <v>7.8420514710997341E-2</v>
      </c>
      <c r="F34" s="446">
        <v>8.434711556508427</v>
      </c>
    </row>
    <row r="35" spans="1:6" x14ac:dyDescent="0.45">
      <c r="A35" t="s">
        <v>1094</v>
      </c>
      <c r="B35" s="446">
        <v>2.2779319594371579</v>
      </c>
      <c r="C35" s="446">
        <v>0.36877556671719097</v>
      </c>
      <c r="D35" s="446">
        <v>0.40558690488121901</v>
      </c>
      <c r="E35" s="446">
        <v>8.5763831501433144E-2</v>
      </c>
      <c r="F35" s="446">
        <v>8.012436270690694</v>
      </c>
    </row>
    <row r="36" spans="1:6" x14ac:dyDescent="0.45">
      <c r="A36" t="s">
        <v>1095</v>
      </c>
      <c r="B36" s="446">
        <v>2.051561807671495</v>
      </c>
      <c r="C36" s="446">
        <v>0.3945141061700419</v>
      </c>
      <c r="D36" s="446">
        <v>0.424906759995135</v>
      </c>
      <c r="E36" s="446">
        <v>8.5460828074576112E-2</v>
      </c>
      <c r="F36" s="446">
        <v>8.4710214998806848</v>
      </c>
    </row>
    <row r="37" spans="1:6" x14ac:dyDescent="0.45">
      <c r="A37" t="s">
        <v>1096</v>
      </c>
      <c r="B37" s="446">
        <v>1.717018502951899</v>
      </c>
      <c r="C37" s="446">
        <v>0.38132808035754467</v>
      </c>
      <c r="D37" s="446">
        <v>0.40419610327564981</v>
      </c>
      <c r="E37" s="446">
        <v>5.5722091543813787E-2</v>
      </c>
      <c r="F37" s="446">
        <v>6.5838696917987107</v>
      </c>
    </row>
    <row r="38" spans="1:6" x14ac:dyDescent="0.45">
      <c r="A38" t="s">
        <v>1097</v>
      </c>
      <c r="B38" s="446">
        <v>1.821930805902449</v>
      </c>
      <c r="C38" s="446">
        <v>0.37554682045246252</v>
      </c>
      <c r="D38" s="446">
        <v>0.42597488364073388</v>
      </c>
      <c r="E38" s="446">
        <v>6.2290778351247203E-2</v>
      </c>
      <c r="F38" s="446">
        <v>14.928351906297509</v>
      </c>
    </row>
    <row r="39" spans="1:6" x14ac:dyDescent="0.45">
      <c r="A39" t="s">
        <v>1098</v>
      </c>
      <c r="B39" s="446">
        <v>1.7044250607704601</v>
      </c>
      <c r="C39" s="446">
        <v>0.31730581173696187</v>
      </c>
      <c r="D39" s="446">
        <v>0.40967510442679872</v>
      </c>
      <c r="E39" s="446">
        <v>8.0997339672234422E-2</v>
      </c>
      <c r="F39" s="446">
        <v>11.0546937882817</v>
      </c>
    </row>
    <row r="40" spans="1:6" x14ac:dyDescent="0.45">
      <c r="A40" t="s">
        <v>1099</v>
      </c>
      <c r="B40" s="446">
        <v>1.963552489171976</v>
      </c>
      <c r="C40" s="446">
        <v>0.197045992909467</v>
      </c>
      <c r="D40" s="446">
        <v>0.21456686213049231</v>
      </c>
      <c r="E40" s="446">
        <v>6.8861622118514446E-2</v>
      </c>
      <c r="F40" s="446">
        <v>3.5993845677487859</v>
      </c>
    </row>
    <row r="41" spans="1:6" x14ac:dyDescent="0.45">
      <c r="A41" t="s">
        <v>1100</v>
      </c>
      <c r="B41" s="446">
        <v>1.5510801078638079</v>
      </c>
      <c r="C41" s="446">
        <v>0.35943522361854358</v>
      </c>
      <c r="D41" s="446">
        <v>0.40588786270932747</v>
      </c>
      <c r="E41" s="446">
        <v>6.6620441854641915E-2</v>
      </c>
      <c r="F41" s="446">
        <v>9.9586371561508589</v>
      </c>
    </row>
    <row r="42" spans="1:6" x14ac:dyDescent="0.45">
      <c r="A42" t="s">
        <v>1101</v>
      </c>
      <c r="B42" s="446">
        <v>1.862478009997858</v>
      </c>
      <c r="C42" s="446">
        <v>0.36379939305889519</v>
      </c>
      <c r="D42" s="446">
        <v>0.52819708861177461</v>
      </c>
      <c r="E42" s="446">
        <v>8.4150340294015177E-2</v>
      </c>
      <c r="F42" s="446">
        <v>19.66611521092495</v>
      </c>
    </row>
    <row r="43" spans="1:6" x14ac:dyDescent="0.45">
      <c r="A43" t="s">
        <v>1102</v>
      </c>
      <c r="B43" s="446">
        <v>1.5679702940433791</v>
      </c>
      <c r="C43" s="446">
        <v>0.42933260184852801</v>
      </c>
      <c r="D43" s="446">
        <v>0.51784168793432162</v>
      </c>
      <c r="E43" s="446">
        <v>3.1594279680914737E-2</v>
      </c>
      <c r="F43" s="446">
        <v>17.60342271385155</v>
      </c>
    </row>
    <row r="44" spans="1:6" x14ac:dyDescent="0.45">
      <c r="A44" t="s">
        <v>1103</v>
      </c>
      <c r="B44" s="446">
        <v>2.024360955677365</v>
      </c>
      <c r="C44" s="446">
        <v>0.3802212845091828</v>
      </c>
      <c r="D44" s="446">
        <v>0.47998516822397508</v>
      </c>
      <c r="E44" s="446">
        <v>8.6955592205062673E-2</v>
      </c>
      <c r="F44" s="446">
        <v>14.970678239453459</v>
      </c>
    </row>
    <row r="45" spans="1:6" x14ac:dyDescent="0.45">
      <c r="A45" t="s">
        <v>1104</v>
      </c>
      <c r="B45" s="446">
        <v>1.7753373207535701</v>
      </c>
      <c r="C45" s="446">
        <v>0.3750410805496342</v>
      </c>
      <c r="D45" s="446">
        <v>0.42196652363358172</v>
      </c>
      <c r="E45" s="446">
        <v>7.7435919161314745E-2</v>
      </c>
      <c r="F45" s="446">
        <v>6.6082325581849286</v>
      </c>
    </row>
    <row r="46" spans="1:6" x14ac:dyDescent="0.45">
      <c r="A46" t="s">
        <v>1105</v>
      </c>
      <c r="B46" s="446">
        <v>1.842710397349884</v>
      </c>
      <c r="C46" s="446">
        <v>0.32011213087806761</v>
      </c>
      <c r="D46" s="446">
        <v>0.34489774806191359</v>
      </c>
      <c r="E46" s="446">
        <v>9.2516863923184922E-2</v>
      </c>
      <c r="F46" s="446">
        <v>5.4774674812154336</v>
      </c>
    </row>
    <row r="47" spans="1:6" x14ac:dyDescent="0.45">
      <c r="A47" t="s">
        <v>1106</v>
      </c>
      <c r="B47" s="446">
        <v>1.576906995447013</v>
      </c>
      <c r="C47" s="446">
        <v>0.45170880422399728</v>
      </c>
      <c r="D47" s="446">
        <v>0.48770058694200252</v>
      </c>
      <c r="E47" s="446">
        <v>8.5583508671704805E-2</v>
      </c>
      <c r="F47" s="446">
        <v>9.8335936953769014</v>
      </c>
    </row>
    <row r="48" spans="1:6" x14ac:dyDescent="0.45">
      <c r="A48" t="s">
        <v>1107</v>
      </c>
      <c r="B48" s="446">
        <v>1.7172091703121091</v>
      </c>
      <c r="C48" s="446">
        <v>0.51058603543113434</v>
      </c>
      <c r="D48" s="446">
        <v>0.60041599959692904</v>
      </c>
      <c r="E48" s="446">
        <v>0.15589794785455341</v>
      </c>
      <c r="F48" s="446">
        <v>19.448365220374701</v>
      </c>
    </row>
    <row r="49" spans="1:6" x14ac:dyDescent="0.45">
      <c r="A49" t="s">
        <v>1108</v>
      </c>
      <c r="B49" s="446">
        <v>1.8725245706161471</v>
      </c>
      <c r="C49" s="446">
        <v>0.36207487217343792</v>
      </c>
      <c r="D49" s="446">
        <v>0.56711883146209308</v>
      </c>
      <c r="E49" s="446">
        <v>4.9011664189482579E-2</v>
      </c>
      <c r="F49" s="446">
        <v>26.048147734919969</v>
      </c>
    </row>
    <row r="50" spans="1:6" x14ac:dyDescent="0.45">
      <c r="A50" t="s">
        <v>1109</v>
      </c>
      <c r="B50" s="446">
        <v>1.684905360027191</v>
      </c>
      <c r="C50" s="446">
        <v>0.52787884251378614</v>
      </c>
      <c r="D50" s="446">
        <v>0.56046069474032845</v>
      </c>
      <c r="E50" s="446">
        <v>6.8717006658379237E-2</v>
      </c>
      <c r="F50" s="446">
        <v>12.60352870592661</v>
      </c>
    </row>
    <row r="51" spans="1:6" x14ac:dyDescent="0.45">
      <c r="A51" t="s">
        <v>1110</v>
      </c>
      <c r="B51" s="446">
        <v>1.850481026830719</v>
      </c>
      <c r="C51" s="446">
        <v>0.49710036704096883</v>
      </c>
      <c r="D51" s="446">
        <v>0.57338551667073356</v>
      </c>
      <c r="E51" s="446">
        <v>8.5230757838469826E-2</v>
      </c>
      <c r="F51" s="446">
        <v>11.03364798504172</v>
      </c>
    </row>
    <row r="52" spans="1:6" x14ac:dyDescent="0.45">
      <c r="A52" t="s">
        <v>1111</v>
      </c>
      <c r="B52" s="446">
        <v>1.8131689394257089</v>
      </c>
      <c r="C52" s="446">
        <v>0.32952453545240579</v>
      </c>
      <c r="D52" s="446">
        <v>0.36504094207608617</v>
      </c>
      <c r="E52" s="446">
        <v>7.9030821048739208E-2</v>
      </c>
      <c r="F52" s="446">
        <v>7.9039658986819914</v>
      </c>
    </row>
    <row r="53" spans="1:6" x14ac:dyDescent="0.45">
      <c r="A53" t="s">
        <v>1112</v>
      </c>
      <c r="B53" s="446">
        <v>1.412600221069318</v>
      </c>
      <c r="C53" s="446">
        <v>0.43780614693387332</v>
      </c>
      <c r="D53" s="446">
        <v>0.51061402606550232</v>
      </c>
      <c r="E53" s="446">
        <v>6.7073756842714188E-2</v>
      </c>
      <c r="F53" s="446">
        <v>7.2563109038933682</v>
      </c>
    </row>
    <row r="54" spans="1:6" x14ac:dyDescent="0.45">
      <c r="A54" t="s">
        <v>1113</v>
      </c>
      <c r="B54" s="446">
        <v>1.444459133519973</v>
      </c>
      <c r="C54" s="446">
        <v>0.37897061554753159</v>
      </c>
      <c r="D54" s="446">
        <v>0.39986116312252179</v>
      </c>
      <c r="E54" s="446">
        <v>0.1589404328399584</v>
      </c>
      <c r="F54" s="446">
        <v>4.7939941842416633</v>
      </c>
    </row>
    <row r="55" spans="1:6" x14ac:dyDescent="0.45">
      <c r="A55" t="s">
        <v>1114</v>
      </c>
      <c r="B55" s="446">
        <v>1.1051556554626401</v>
      </c>
      <c r="C55" s="446">
        <v>3.7841396861409908E-2</v>
      </c>
      <c r="D55" s="446">
        <v>4.864546045089374E-2</v>
      </c>
      <c r="E55" s="446">
        <v>8.8812324138030398E-3</v>
      </c>
      <c r="F55" s="446">
        <v>1.280259161679977</v>
      </c>
    </row>
    <row r="56" spans="1:6" x14ac:dyDescent="0.45">
      <c r="A56" t="s">
        <v>1115</v>
      </c>
      <c r="B56" s="446">
        <v>1.401441714243451</v>
      </c>
      <c r="C56" s="446">
        <v>0.37091159470346452</v>
      </c>
      <c r="D56" s="446">
        <v>0.56755978389488271</v>
      </c>
      <c r="E56" s="446">
        <v>7.532012636676419E-2</v>
      </c>
      <c r="F56" s="446">
        <v>10.91869327018901</v>
      </c>
    </row>
    <row r="57" spans="1:6" x14ac:dyDescent="0.45">
      <c r="A57" t="s">
        <v>1116</v>
      </c>
      <c r="B57" s="446">
        <v>1.474562490784346</v>
      </c>
      <c r="C57" s="446">
        <v>0.44736772903655792</v>
      </c>
      <c r="D57" s="446">
        <v>0.62976162606765018</v>
      </c>
      <c r="E57" s="446">
        <v>7.3985238462031561E-2</v>
      </c>
      <c r="F57" s="446">
        <v>13.37121404349598</v>
      </c>
    </row>
    <row r="58" spans="1:6" x14ac:dyDescent="0.45">
      <c r="A58" t="s">
        <v>1117</v>
      </c>
      <c r="B58" s="446">
        <v>1.9705725940408341</v>
      </c>
      <c r="C58" s="446">
        <v>0.41305575246608528</v>
      </c>
      <c r="D58" s="446">
        <v>0.51561798262532832</v>
      </c>
      <c r="E58" s="446">
        <v>9.7604787058675688E-2</v>
      </c>
      <c r="F58" s="446">
        <v>12.32651370245333</v>
      </c>
    </row>
    <row r="59" spans="1:6" x14ac:dyDescent="0.45">
      <c r="A59" t="s">
        <v>1118</v>
      </c>
      <c r="B59" s="446">
        <v>1.480918998987768</v>
      </c>
      <c r="C59" s="446">
        <v>0.34377948434147121</v>
      </c>
      <c r="D59" s="446">
        <v>0.38257458306294823</v>
      </c>
      <c r="E59" s="446">
        <v>0.20784853086522229</v>
      </c>
      <c r="F59" s="446">
        <v>9.1745296927106459</v>
      </c>
    </row>
    <row r="60" spans="1:6" x14ac:dyDescent="0.45">
      <c r="A60" t="s">
        <v>1119</v>
      </c>
      <c r="B60" s="446">
        <v>1.437211443650404</v>
      </c>
      <c r="C60" s="446">
        <v>0.55095572067171861</v>
      </c>
      <c r="D60" s="446">
        <v>0.60068553037044858</v>
      </c>
      <c r="E60" s="446">
        <v>6.5868759783622416E-2</v>
      </c>
      <c r="F60" s="446">
        <v>18.20573884397438</v>
      </c>
    </row>
    <row r="61" spans="1:6" x14ac:dyDescent="0.45">
      <c r="A61" t="s">
        <v>1120</v>
      </c>
      <c r="B61" s="446">
        <v>1.248524013843344</v>
      </c>
      <c r="C61" s="446">
        <v>0.76813317203550402</v>
      </c>
      <c r="D61" s="446">
        <v>0.81109976855300325</v>
      </c>
      <c r="E61" s="446">
        <v>5.6596823697501672E-2</v>
      </c>
      <c r="F61" s="446">
        <v>19.87979320266102</v>
      </c>
    </row>
    <row r="62" spans="1:6" x14ac:dyDescent="0.45">
      <c r="A62" t="s">
        <v>1121</v>
      </c>
      <c r="B62" s="446">
        <v>1.3912497503757211</v>
      </c>
      <c r="C62" s="446">
        <v>0.71374433451878527</v>
      </c>
      <c r="D62" s="446">
        <v>0.73097712107290147</v>
      </c>
      <c r="E62" s="446">
        <v>2.5580274981285029E-2</v>
      </c>
      <c r="F62" s="446">
        <v>8.2568534543572749</v>
      </c>
    </row>
    <row r="63" spans="1:6" x14ac:dyDescent="0.45">
      <c r="A63" t="s">
        <v>1122</v>
      </c>
      <c r="B63" s="446">
        <v>1.229636504351806</v>
      </c>
      <c r="C63" s="446">
        <v>0.86648199224128641</v>
      </c>
      <c r="D63" s="446">
        <v>0.87699750297744139</v>
      </c>
      <c r="E63" s="446">
        <v>9.8189143509529453E-3</v>
      </c>
      <c r="F63" s="446">
        <v>13.54044366513282</v>
      </c>
    </row>
    <row r="64" spans="1:6" x14ac:dyDescent="0.45">
      <c r="A64" t="s">
        <v>1123</v>
      </c>
      <c r="B64" s="446">
        <v>1.3862039370496859</v>
      </c>
      <c r="C64" s="446">
        <v>0.71011843816574549</v>
      </c>
      <c r="D64" s="446">
        <v>0.78824464103139491</v>
      </c>
      <c r="E64" s="446">
        <v>3.6209034109946622E-2</v>
      </c>
      <c r="F64" s="446">
        <v>22.337307250306569</v>
      </c>
    </row>
    <row r="65" spans="1:6" x14ac:dyDescent="0.45">
      <c r="A65" t="s">
        <v>1124</v>
      </c>
      <c r="B65" s="446">
        <v>1.5037237650210169</v>
      </c>
      <c r="C65" s="446">
        <v>0.73342830434530359</v>
      </c>
      <c r="D65" s="446">
        <v>0.76058098175292166</v>
      </c>
      <c r="E65" s="446">
        <v>1.9808309443693831E-2</v>
      </c>
      <c r="F65" s="446">
        <v>14.96801218858943</v>
      </c>
    </row>
    <row r="66" spans="1:6" x14ac:dyDescent="0.45">
      <c r="A66" t="s">
        <v>1125</v>
      </c>
      <c r="B66" s="446">
        <v>1.5816817417437781</v>
      </c>
      <c r="C66" s="446">
        <v>0.44100870453313989</v>
      </c>
      <c r="D66" s="446">
        <v>0.6463685447899028</v>
      </c>
      <c r="E66" s="446">
        <v>4.482053124328484E-2</v>
      </c>
      <c r="F66" s="446">
        <v>16.139837972768799</v>
      </c>
    </row>
    <row r="67" spans="1:6" x14ac:dyDescent="0.45">
      <c r="A67" t="s">
        <v>1126</v>
      </c>
      <c r="B67" s="446">
        <v>1.587088866758583</v>
      </c>
      <c r="C67" s="446">
        <v>0.43436723021802931</v>
      </c>
      <c r="D67" s="446">
        <v>0.62573563979531344</v>
      </c>
      <c r="E67" s="446">
        <v>0.19275148245839571</v>
      </c>
      <c r="F67" s="446">
        <v>29.42915021795989</v>
      </c>
    </row>
    <row r="68" spans="1:6" x14ac:dyDescent="0.45">
      <c r="A68" t="s">
        <v>1127</v>
      </c>
      <c r="B68" s="446">
        <v>1.6456358828183331</v>
      </c>
      <c r="C68" s="446">
        <v>0.39689019663864999</v>
      </c>
      <c r="D68" s="446">
        <v>0.6231711148825505</v>
      </c>
      <c r="E68" s="446">
        <v>4.0514058119727962E-2</v>
      </c>
      <c r="F68" s="446">
        <v>30.479906273746909</v>
      </c>
    </row>
    <row r="69" spans="1:6" x14ac:dyDescent="0.45">
      <c r="A69" t="s">
        <v>1128</v>
      </c>
      <c r="B69" s="446">
        <v>1</v>
      </c>
      <c r="C69" s="446">
        <v>1</v>
      </c>
      <c r="D69" s="446">
        <v>1</v>
      </c>
      <c r="E69" s="446">
        <v>0</v>
      </c>
      <c r="F69" s="446">
        <v>91.059754117991432</v>
      </c>
    </row>
  </sheetData>
  <mergeCells count="2">
    <mergeCell ref="A1:A2"/>
    <mergeCell ref="B1:F1"/>
  </mergeCells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CDA7-962C-4A1C-A734-CB93D60B949E}">
  <sheetPr>
    <tabColor theme="5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4CCC-DC03-48E6-8519-047F9F024081}">
  <sheetPr>
    <tabColor theme="4" tint="-0.499984740745262"/>
  </sheetPr>
  <dimension ref="A1"/>
  <sheetViews>
    <sheetView workbookViewId="0"/>
  </sheetViews>
  <sheetFormatPr defaultColWidth="8.86328125" defaultRowHeight="14.25" x14ac:dyDescent="0.45"/>
  <cols>
    <col min="1" max="16384" width="8.86328125" style="246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B2C3-DC26-4698-8A0C-437CBC061161}">
  <sheetPr>
    <tabColor theme="4" tint="-0.499984740745262"/>
  </sheetPr>
  <dimension ref="A1:G423"/>
  <sheetViews>
    <sheetView workbookViewId="0">
      <selection sqref="A1:G1"/>
    </sheetView>
  </sheetViews>
  <sheetFormatPr defaultRowHeight="14.25" x14ac:dyDescent="0.45"/>
  <cols>
    <col min="1" max="1" width="59.6640625" customWidth="1"/>
    <col min="2" max="7" width="16.46484375" customWidth="1"/>
  </cols>
  <sheetData>
    <row r="1" spans="1:7" x14ac:dyDescent="0.45">
      <c r="A1" s="437" t="s">
        <v>300</v>
      </c>
      <c r="B1" s="437"/>
      <c r="C1" s="437"/>
      <c r="D1" s="437"/>
      <c r="E1" s="437"/>
      <c r="F1" s="437"/>
      <c r="G1" s="437"/>
    </row>
    <row r="2" spans="1:7" x14ac:dyDescent="0.45">
      <c r="A2" s="436" t="s">
        <v>20</v>
      </c>
      <c r="B2" s="436"/>
      <c r="C2" s="436"/>
      <c r="D2" s="436"/>
      <c r="E2" s="436"/>
      <c r="F2" s="436"/>
      <c r="G2" s="436"/>
    </row>
    <row r="3" spans="1:7" x14ac:dyDescent="0.45">
      <c r="A3" s="436" t="s">
        <v>301</v>
      </c>
      <c r="B3" s="436"/>
      <c r="C3" s="436"/>
      <c r="D3" s="436"/>
      <c r="E3" s="436"/>
      <c r="F3" s="436"/>
      <c r="G3" s="436"/>
    </row>
    <row r="4" spans="1:7" x14ac:dyDescent="0.45">
      <c r="A4" s="436" t="s">
        <v>302</v>
      </c>
      <c r="B4" s="436" t="s">
        <v>23</v>
      </c>
      <c r="C4" s="436"/>
      <c r="D4" s="436"/>
      <c r="E4" s="436"/>
      <c r="F4" s="436"/>
      <c r="G4" s="436"/>
    </row>
    <row r="5" spans="1:7" x14ac:dyDescent="0.45">
      <c r="A5" s="436"/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</row>
    <row r="6" spans="1:7" x14ac:dyDescent="0.45">
      <c r="A6" s="9" t="s">
        <v>303</v>
      </c>
      <c r="B6" s="125">
        <v>2489304229</v>
      </c>
      <c r="C6" s="125">
        <v>2646504819</v>
      </c>
      <c r="D6" s="125">
        <v>3028908301</v>
      </c>
      <c r="E6" s="125">
        <v>3222215297</v>
      </c>
      <c r="F6" s="125">
        <v>3587136766</v>
      </c>
      <c r="G6" s="125">
        <v>5122925968</v>
      </c>
    </row>
    <row r="7" spans="1:7" x14ac:dyDescent="0.45">
      <c r="A7" s="9" t="s">
        <v>304</v>
      </c>
      <c r="B7" s="125">
        <v>112372763</v>
      </c>
      <c r="C7" s="125">
        <v>145644315</v>
      </c>
      <c r="D7" s="125">
        <v>189736468</v>
      </c>
      <c r="E7" s="125">
        <v>215758218</v>
      </c>
      <c r="F7" s="125">
        <v>270562818</v>
      </c>
      <c r="G7" s="125">
        <v>456383392</v>
      </c>
    </row>
    <row r="8" spans="1:7" x14ac:dyDescent="0.45">
      <c r="A8" s="9" t="s">
        <v>305</v>
      </c>
      <c r="B8" s="125">
        <v>1102431</v>
      </c>
      <c r="C8" s="125">
        <v>1046707</v>
      </c>
      <c r="D8" s="125">
        <v>1135102</v>
      </c>
      <c r="E8" s="125">
        <v>1247131</v>
      </c>
      <c r="F8" s="125">
        <v>1287354</v>
      </c>
      <c r="G8" s="125">
        <v>1726033</v>
      </c>
    </row>
    <row r="9" spans="1:7" x14ac:dyDescent="0.45">
      <c r="A9" s="9" t="s">
        <v>306</v>
      </c>
      <c r="B9" s="125">
        <v>1102431</v>
      </c>
      <c r="C9" s="125">
        <v>1046707</v>
      </c>
      <c r="D9" s="125">
        <v>1135102</v>
      </c>
      <c r="E9" s="125">
        <v>1247131</v>
      </c>
      <c r="F9" s="125">
        <v>1287354</v>
      </c>
      <c r="G9" s="125">
        <v>1726033</v>
      </c>
    </row>
    <row r="10" spans="1:7" x14ac:dyDescent="0.45">
      <c r="A10" s="9" t="s">
        <v>307</v>
      </c>
      <c r="B10" s="125">
        <v>1102431</v>
      </c>
      <c r="C10" s="125">
        <v>1046707</v>
      </c>
      <c r="D10" s="125">
        <v>1135102</v>
      </c>
      <c r="E10" s="125">
        <v>1247131</v>
      </c>
      <c r="F10" s="125">
        <v>1287354</v>
      </c>
      <c r="G10" s="125">
        <v>1726033</v>
      </c>
    </row>
    <row r="11" spans="1:7" x14ac:dyDescent="0.45">
      <c r="A11" s="9" t="s">
        <v>308</v>
      </c>
      <c r="B11" s="125">
        <v>24782064</v>
      </c>
      <c r="C11" s="125">
        <v>36250442</v>
      </c>
      <c r="D11" s="125">
        <v>55736694</v>
      </c>
      <c r="E11" s="125">
        <v>62035329</v>
      </c>
      <c r="F11" s="125">
        <v>55171505</v>
      </c>
      <c r="G11" s="125">
        <v>108869431</v>
      </c>
    </row>
    <row r="12" spans="1:7" x14ac:dyDescent="0.45">
      <c r="A12" s="9" t="s">
        <v>309</v>
      </c>
      <c r="B12" s="125">
        <v>24782064</v>
      </c>
      <c r="C12" s="125">
        <v>36250442</v>
      </c>
      <c r="D12" s="125">
        <v>55736694</v>
      </c>
      <c r="E12" s="125">
        <v>62035329</v>
      </c>
      <c r="F12" s="125">
        <v>55171505</v>
      </c>
      <c r="G12" s="125">
        <v>108869431</v>
      </c>
    </row>
    <row r="13" spans="1:7" x14ac:dyDescent="0.45">
      <c r="A13" s="9" t="s">
        <v>310</v>
      </c>
      <c r="B13" s="125">
        <v>24782064</v>
      </c>
      <c r="C13" s="125">
        <v>36250442</v>
      </c>
      <c r="D13" s="125">
        <v>55736694</v>
      </c>
      <c r="E13" s="125">
        <v>62035329</v>
      </c>
      <c r="F13" s="125">
        <v>55171505</v>
      </c>
      <c r="G13" s="125">
        <v>108869431</v>
      </c>
    </row>
    <row r="14" spans="1:7" x14ac:dyDescent="0.45">
      <c r="A14" s="9" t="s">
        <v>311</v>
      </c>
      <c r="B14" s="125">
        <v>63900471</v>
      </c>
      <c r="C14" s="125">
        <v>87373425</v>
      </c>
      <c r="D14" s="125">
        <v>111367894</v>
      </c>
      <c r="E14" s="125">
        <v>129809541</v>
      </c>
      <c r="F14" s="125">
        <v>187606485</v>
      </c>
      <c r="G14" s="125">
        <v>309986294</v>
      </c>
    </row>
    <row r="15" spans="1:7" x14ac:dyDescent="0.45">
      <c r="A15" s="9" t="s">
        <v>312</v>
      </c>
      <c r="B15" s="125">
        <v>54689246</v>
      </c>
      <c r="C15" s="125">
        <v>76929272</v>
      </c>
      <c r="D15" s="125">
        <v>98663022</v>
      </c>
      <c r="E15" s="125">
        <v>115966102</v>
      </c>
      <c r="F15" s="125">
        <v>169818500</v>
      </c>
      <c r="G15" s="125">
        <v>286930796</v>
      </c>
    </row>
    <row r="16" spans="1:7" x14ac:dyDescent="0.45">
      <c r="A16" s="9" t="s">
        <v>313</v>
      </c>
      <c r="B16" s="125">
        <v>54689246</v>
      </c>
      <c r="C16" s="125">
        <v>76929272</v>
      </c>
      <c r="D16" s="125">
        <v>98663022</v>
      </c>
      <c r="E16" s="125">
        <v>115966102</v>
      </c>
      <c r="F16" s="125">
        <v>169818500</v>
      </c>
      <c r="G16" s="125">
        <v>286930796</v>
      </c>
    </row>
    <row r="17" spans="1:7" x14ac:dyDescent="0.45">
      <c r="A17" s="9" t="s">
        <v>314</v>
      </c>
      <c r="B17" s="125">
        <v>9211225</v>
      </c>
      <c r="C17" s="125">
        <v>10444153</v>
      </c>
      <c r="D17" s="125">
        <v>12704872</v>
      </c>
      <c r="E17" s="125">
        <v>13843439</v>
      </c>
      <c r="F17" s="125">
        <v>17787985</v>
      </c>
      <c r="G17" s="125">
        <v>23055498</v>
      </c>
    </row>
    <row r="18" spans="1:7" x14ac:dyDescent="0.45">
      <c r="A18" s="9" t="s">
        <v>315</v>
      </c>
      <c r="B18" s="125">
        <v>2651909</v>
      </c>
      <c r="C18" s="125">
        <v>2394973</v>
      </c>
      <c r="D18" s="125">
        <v>2481856</v>
      </c>
      <c r="E18" s="125">
        <v>2860665</v>
      </c>
      <c r="F18" s="125">
        <v>3316226</v>
      </c>
      <c r="G18" s="125">
        <v>3891858</v>
      </c>
    </row>
    <row r="19" spans="1:7" x14ac:dyDescent="0.45">
      <c r="A19" s="9" t="s">
        <v>316</v>
      </c>
      <c r="B19" s="125">
        <v>47368</v>
      </c>
      <c r="C19" s="125">
        <v>70496</v>
      </c>
      <c r="D19" s="125">
        <v>134636</v>
      </c>
      <c r="E19" s="125">
        <v>217618</v>
      </c>
      <c r="F19" s="125">
        <v>236347</v>
      </c>
      <c r="G19" s="125">
        <v>564259</v>
      </c>
    </row>
    <row r="20" spans="1:7" x14ac:dyDescent="0.45">
      <c r="A20" s="9" t="s">
        <v>317</v>
      </c>
      <c r="B20" s="125">
        <v>228708</v>
      </c>
      <c r="C20" s="125">
        <v>534656</v>
      </c>
      <c r="D20" s="125">
        <v>984729</v>
      </c>
      <c r="E20" s="125">
        <v>1452659</v>
      </c>
      <c r="F20" s="125">
        <v>949332</v>
      </c>
      <c r="G20" s="125">
        <v>367540</v>
      </c>
    </row>
    <row r="21" spans="1:7" x14ac:dyDescent="0.45">
      <c r="A21" s="9" t="s">
        <v>318</v>
      </c>
      <c r="B21" s="125">
        <v>757240</v>
      </c>
      <c r="C21" s="125">
        <v>386985</v>
      </c>
      <c r="D21" s="125">
        <v>427443</v>
      </c>
      <c r="E21" s="125">
        <v>370226</v>
      </c>
      <c r="F21" s="125">
        <v>1586689</v>
      </c>
      <c r="G21" s="125">
        <v>3485523</v>
      </c>
    </row>
    <row r="22" spans="1:7" x14ac:dyDescent="0.45">
      <c r="A22" s="9" t="s">
        <v>319</v>
      </c>
      <c r="B22" s="125" t="s">
        <v>35</v>
      </c>
      <c r="C22" s="125" t="s">
        <v>35</v>
      </c>
      <c r="D22" s="125" t="s">
        <v>35</v>
      </c>
      <c r="E22" s="125" t="s">
        <v>35</v>
      </c>
      <c r="F22" s="125" t="s">
        <v>35</v>
      </c>
      <c r="G22" s="125" t="s">
        <v>35</v>
      </c>
    </row>
    <row r="23" spans="1:7" x14ac:dyDescent="0.45">
      <c r="A23" s="9" t="s">
        <v>320</v>
      </c>
      <c r="B23" s="125">
        <v>5526000</v>
      </c>
      <c r="C23" s="125">
        <v>7057043</v>
      </c>
      <c r="D23" s="125">
        <v>8676208</v>
      </c>
      <c r="E23" s="125">
        <v>8942271</v>
      </c>
      <c r="F23" s="125">
        <v>11699391</v>
      </c>
      <c r="G23" s="125">
        <v>14746318</v>
      </c>
    </row>
    <row r="24" spans="1:7" x14ac:dyDescent="0.45">
      <c r="A24" s="9" t="s">
        <v>321</v>
      </c>
      <c r="B24" s="125">
        <v>11070551</v>
      </c>
      <c r="C24" s="125">
        <v>10172570</v>
      </c>
      <c r="D24" s="125">
        <v>10522902</v>
      </c>
      <c r="E24" s="125">
        <v>11435890</v>
      </c>
      <c r="F24" s="125">
        <v>13874620</v>
      </c>
      <c r="G24" s="125">
        <v>18373883</v>
      </c>
    </row>
    <row r="25" spans="1:7" x14ac:dyDescent="0.45">
      <c r="A25" s="9" t="s">
        <v>322</v>
      </c>
      <c r="B25" s="125">
        <v>8053539</v>
      </c>
      <c r="C25" s="125">
        <v>7222176</v>
      </c>
      <c r="D25" s="125">
        <v>7372029</v>
      </c>
      <c r="E25" s="125">
        <v>8480110</v>
      </c>
      <c r="F25" s="125">
        <v>10542057</v>
      </c>
      <c r="G25" s="125">
        <v>13299900</v>
      </c>
    </row>
    <row r="26" spans="1:7" x14ac:dyDescent="0.45">
      <c r="A26" s="9" t="s">
        <v>323</v>
      </c>
      <c r="B26" s="125">
        <v>8053539</v>
      </c>
      <c r="C26" s="125">
        <v>7222176</v>
      </c>
      <c r="D26" s="125">
        <v>7372029</v>
      </c>
      <c r="E26" s="125">
        <v>8480110</v>
      </c>
      <c r="F26" s="125">
        <v>10542057</v>
      </c>
      <c r="G26" s="125">
        <v>13299900</v>
      </c>
    </row>
    <row r="27" spans="1:7" x14ac:dyDescent="0.45">
      <c r="A27" s="9" t="s">
        <v>324</v>
      </c>
      <c r="B27" s="125">
        <v>3017012</v>
      </c>
      <c r="C27" s="125">
        <v>2950394</v>
      </c>
      <c r="D27" s="125">
        <v>3150873</v>
      </c>
      <c r="E27" s="125">
        <v>2955780</v>
      </c>
      <c r="F27" s="125">
        <v>3332563</v>
      </c>
      <c r="G27" s="125">
        <v>5073983</v>
      </c>
    </row>
    <row r="28" spans="1:7" x14ac:dyDescent="0.45">
      <c r="A28" s="9" t="s">
        <v>325</v>
      </c>
      <c r="B28" s="125">
        <v>170432</v>
      </c>
      <c r="C28" s="125">
        <v>235309</v>
      </c>
      <c r="D28" s="125">
        <v>221648</v>
      </c>
      <c r="E28" s="125">
        <v>445421</v>
      </c>
      <c r="F28" s="125">
        <v>688751</v>
      </c>
      <c r="G28" s="125">
        <v>1411633</v>
      </c>
    </row>
    <row r="29" spans="1:7" x14ac:dyDescent="0.45">
      <c r="A29" s="9" t="s">
        <v>326</v>
      </c>
      <c r="B29" s="125">
        <v>960060</v>
      </c>
      <c r="C29" s="125">
        <v>707873</v>
      </c>
      <c r="D29" s="125">
        <v>691427</v>
      </c>
      <c r="E29" s="125">
        <v>757973</v>
      </c>
      <c r="F29" s="125">
        <v>799884</v>
      </c>
      <c r="G29" s="125">
        <v>1006251</v>
      </c>
    </row>
    <row r="30" spans="1:7" x14ac:dyDescent="0.45">
      <c r="A30" s="9" t="s">
        <v>327</v>
      </c>
      <c r="B30" s="125">
        <v>143331</v>
      </c>
      <c r="C30" s="125">
        <v>213221</v>
      </c>
      <c r="D30" s="125">
        <v>218832</v>
      </c>
      <c r="E30" s="125">
        <v>156928</v>
      </c>
      <c r="F30" s="125">
        <v>162454</v>
      </c>
      <c r="G30" s="125">
        <v>212742</v>
      </c>
    </row>
    <row r="31" spans="1:7" x14ac:dyDescent="0.45">
      <c r="A31" s="9" t="s">
        <v>328</v>
      </c>
      <c r="B31" s="125">
        <v>1743189</v>
      </c>
      <c r="C31" s="125">
        <v>1793991</v>
      </c>
      <c r="D31" s="125">
        <v>2018966</v>
      </c>
      <c r="E31" s="125">
        <v>1595458</v>
      </c>
      <c r="F31" s="125">
        <v>1681474</v>
      </c>
      <c r="G31" s="125">
        <v>2443357</v>
      </c>
    </row>
    <row r="32" spans="1:7" x14ac:dyDescent="0.45">
      <c r="A32" s="9" t="s">
        <v>329</v>
      </c>
      <c r="B32" s="125">
        <v>11517246</v>
      </c>
      <c r="C32" s="125">
        <v>10801171</v>
      </c>
      <c r="D32" s="125">
        <v>10973876</v>
      </c>
      <c r="E32" s="125">
        <v>11230327</v>
      </c>
      <c r="F32" s="125">
        <v>12622854</v>
      </c>
      <c r="G32" s="125">
        <v>17427751</v>
      </c>
    </row>
    <row r="33" spans="1:7" x14ac:dyDescent="0.45">
      <c r="A33" s="9" t="s">
        <v>330</v>
      </c>
      <c r="B33" s="125">
        <v>11113894</v>
      </c>
      <c r="C33" s="125">
        <v>10449783</v>
      </c>
      <c r="D33" s="125">
        <v>10728302</v>
      </c>
      <c r="E33" s="125">
        <v>10811993</v>
      </c>
      <c r="F33" s="125">
        <v>12066150</v>
      </c>
      <c r="G33" s="125">
        <v>16870309</v>
      </c>
    </row>
    <row r="34" spans="1:7" x14ac:dyDescent="0.45">
      <c r="A34" s="9" t="s">
        <v>331</v>
      </c>
      <c r="B34" s="125">
        <v>11113894</v>
      </c>
      <c r="C34" s="125">
        <v>10449783</v>
      </c>
      <c r="D34" s="125">
        <v>10728302</v>
      </c>
      <c r="E34" s="125">
        <v>10811993</v>
      </c>
      <c r="F34" s="125">
        <v>12066150</v>
      </c>
      <c r="G34" s="125">
        <v>16870309</v>
      </c>
    </row>
    <row r="35" spans="1:7" x14ac:dyDescent="0.45">
      <c r="A35" s="9" t="s">
        <v>332</v>
      </c>
      <c r="B35" s="125">
        <v>403352</v>
      </c>
      <c r="C35" s="125">
        <v>351388</v>
      </c>
      <c r="D35" s="125">
        <v>245574</v>
      </c>
      <c r="E35" s="125">
        <v>418334</v>
      </c>
      <c r="F35" s="125">
        <v>556704</v>
      </c>
      <c r="G35" s="125">
        <v>557442</v>
      </c>
    </row>
    <row r="36" spans="1:7" x14ac:dyDescent="0.45">
      <c r="A36" s="9" t="s">
        <v>333</v>
      </c>
      <c r="B36" s="125">
        <v>403352</v>
      </c>
      <c r="C36" s="125">
        <v>351388</v>
      </c>
      <c r="D36" s="125">
        <v>245574</v>
      </c>
      <c r="E36" s="125">
        <v>418334</v>
      </c>
      <c r="F36" s="125">
        <v>556704</v>
      </c>
      <c r="G36" s="125">
        <v>557442</v>
      </c>
    </row>
    <row r="37" spans="1:7" x14ac:dyDescent="0.45">
      <c r="A37" s="9" t="s">
        <v>334</v>
      </c>
      <c r="B37" s="125">
        <v>2376931466</v>
      </c>
      <c r="C37" s="125">
        <v>2500860504</v>
      </c>
      <c r="D37" s="125">
        <v>2839171833</v>
      </c>
      <c r="E37" s="125">
        <v>3006457079</v>
      </c>
      <c r="F37" s="125">
        <v>3316573948</v>
      </c>
      <c r="G37" s="125">
        <v>4666542576</v>
      </c>
    </row>
    <row r="38" spans="1:7" x14ac:dyDescent="0.45">
      <c r="A38" s="9" t="s">
        <v>335</v>
      </c>
      <c r="B38" s="125">
        <v>583193194</v>
      </c>
      <c r="C38" s="125">
        <v>596244677</v>
      </c>
      <c r="D38" s="125">
        <v>623542249</v>
      </c>
      <c r="E38" s="125">
        <v>636139654</v>
      </c>
      <c r="F38" s="125">
        <v>845668286</v>
      </c>
      <c r="G38" s="125">
        <v>1036653864</v>
      </c>
    </row>
    <row r="39" spans="1:7" x14ac:dyDescent="0.45">
      <c r="A39" s="9" t="s">
        <v>336</v>
      </c>
      <c r="B39" s="125">
        <v>195420811</v>
      </c>
      <c r="C39" s="125">
        <v>194922433</v>
      </c>
      <c r="D39" s="125">
        <v>207618296</v>
      </c>
      <c r="E39" s="125">
        <v>230324930</v>
      </c>
      <c r="F39" s="125">
        <v>294913876</v>
      </c>
      <c r="G39" s="125">
        <v>371862682</v>
      </c>
    </row>
    <row r="40" spans="1:7" x14ac:dyDescent="0.45">
      <c r="A40" s="9" t="s">
        <v>337</v>
      </c>
      <c r="B40" s="125">
        <v>83248974</v>
      </c>
      <c r="C40" s="125">
        <v>79553640</v>
      </c>
      <c r="D40" s="125">
        <v>85471101</v>
      </c>
      <c r="E40" s="125">
        <v>94513771</v>
      </c>
      <c r="F40" s="125">
        <v>122895654</v>
      </c>
      <c r="G40" s="125">
        <v>145605059</v>
      </c>
    </row>
    <row r="41" spans="1:7" x14ac:dyDescent="0.45">
      <c r="A41" s="9" t="s">
        <v>338</v>
      </c>
      <c r="B41" s="125">
        <v>99294674</v>
      </c>
      <c r="C41" s="125">
        <v>102425292</v>
      </c>
      <c r="D41" s="125">
        <v>108822574</v>
      </c>
      <c r="E41" s="125">
        <v>121270175</v>
      </c>
      <c r="F41" s="125">
        <v>157468318</v>
      </c>
      <c r="G41" s="125">
        <v>205774054</v>
      </c>
    </row>
    <row r="42" spans="1:7" x14ac:dyDescent="0.45">
      <c r="A42" s="9" t="s">
        <v>339</v>
      </c>
      <c r="B42" s="125">
        <v>12877163</v>
      </c>
      <c r="C42" s="125">
        <v>12943501</v>
      </c>
      <c r="D42" s="125">
        <v>13324621</v>
      </c>
      <c r="E42" s="125">
        <v>14540984</v>
      </c>
      <c r="F42" s="125">
        <v>14549904</v>
      </c>
      <c r="G42" s="125">
        <v>20483569</v>
      </c>
    </row>
    <row r="43" spans="1:7" x14ac:dyDescent="0.45">
      <c r="A43" s="9" t="s">
        <v>340</v>
      </c>
      <c r="B43" s="125">
        <v>3510924</v>
      </c>
      <c r="C43" s="125">
        <v>3494605</v>
      </c>
      <c r="D43" s="125">
        <v>3944720</v>
      </c>
      <c r="E43" s="125">
        <v>4537152</v>
      </c>
      <c r="F43" s="125">
        <v>4892978</v>
      </c>
      <c r="G43" s="125">
        <v>6353800</v>
      </c>
    </row>
    <row r="44" spans="1:7" x14ac:dyDescent="0.45">
      <c r="A44" s="9" t="s">
        <v>341</v>
      </c>
      <c r="B44" s="125">
        <v>3510924</v>
      </c>
      <c r="C44" s="125">
        <v>3494605</v>
      </c>
      <c r="D44" s="125">
        <v>3944720</v>
      </c>
      <c r="E44" s="125">
        <v>4537152</v>
      </c>
      <c r="F44" s="125">
        <v>4892978</v>
      </c>
      <c r="G44" s="125">
        <v>6353800</v>
      </c>
    </row>
    <row r="45" spans="1:7" x14ac:dyDescent="0.45">
      <c r="A45" s="9" t="s">
        <v>342</v>
      </c>
      <c r="B45" s="125">
        <v>21778391</v>
      </c>
      <c r="C45" s="125">
        <v>24498278</v>
      </c>
      <c r="D45" s="125">
        <v>25880146</v>
      </c>
      <c r="E45" s="125">
        <v>26007468</v>
      </c>
      <c r="F45" s="125">
        <v>27225486</v>
      </c>
      <c r="G45" s="125">
        <v>32148666</v>
      </c>
    </row>
    <row r="46" spans="1:7" x14ac:dyDescent="0.45">
      <c r="A46" s="9" t="s">
        <v>343</v>
      </c>
      <c r="B46" s="125">
        <v>5706825</v>
      </c>
      <c r="C46" s="125">
        <v>5452552</v>
      </c>
      <c r="D46" s="125">
        <v>6131355</v>
      </c>
      <c r="E46" s="125">
        <v>5817899</v>
      </c>
      <c r="F46" s="125">
        <v>7050802</v>
      </c>
      <c r="G46" s="125">
        <v>8708411</v>
      </c>
    </row>
    <row r="47" spans="1:7" x14ac:dyDescent="0.45">
      <c r="A47" s="9" t="s">
        <v>344</v>
      </c>
      <c r="B47" s="125">
        <v>3021633</v>
      </c>
      <c r="C47" s="125">
        <v>3610040</v>
      </c>
      <c r="D47" s="125">
        <v>3719376</v>
      </c>
      <c r="E47" s="125">
        <v>4440635</v>
      </c>
      <c r="F47" s="125">
        <v>5211199</v>
      </c>
      <c r="G47" s="125">
        <v>5859398</v>
      </c>
    </row>
    <row r="48" spans="1:7" x14ac:dyDescent="0.45">
      <c r="A48" s="9" t="s">
        <v>345</v>
      </c>
      <c r="B48" s="125">
        <v>13049933</v>
      </c>
      <c r="C48" s="125">
        <v>15435686</v>
      </c>
      <c r="D48" s="125">
        <v>16029415</v>
      </c>
      <c r="E48" s="125">
        <v>15748934</v>
      </c>
      <c r="F48" s="125">
        <v>14963485</v>
      </c>
      <c r="G48" s="125">
        <v>17580857</v>
      </c>
    </row>
    <row r="49" spans="1:7" x14ac:dyDescent="0.45">
      <c r="A49" s="9" t="s">
        <v>346</v>
      </c>
      <c r="B49" s="125">
        <v>81044797</v>
      </c>
      <c r="C49" s="125">
        <v>94250602</v>
      </c>
      <c r="D49" s="125">
        <v>112214818</v>
      </c>
      <c r="E49" s="125">
        <v>107471536</v>
      </c>
      <c r="F49" s="125">
        <v>153589049</v>
      </c>
      <c r="G49" s="125">
        <v>197647314</v>
      </c>
    </row>
    <row r="50" spans="1:7" x14ac:dyDescent="0.45">
      <c r="A50" s="9" t="s">
        <v>347</v>
      </c>
      <c r="B50" s="125">
        <v>78251764</v>
      </c>
      <c r="C50" s="125">
        <v>91286748</v>
      </c>
      <c r="D50" s="125">
        <v>109382253</v>
      </c>
      <c r="E50" s="125">
        <v>76037224</v>
      </c>
      <c r="F50" s="125">
        <v>120220750</v>
      </c>
      <c r="G50" s="125">
        <v>191084185</v>
      </c>
    </row>
    <row r="51" spans="1:7" x14ac:dyDescent="0.45">
      <c r="A51" s="9" t="s">
        <v>348</v>
      </c>
      <c r="B51" s="125">
        <v>2089426</v>
      </c>
      <c r="C51" s="125">
        <v>2784933</v>
      </c>
      <c r="D51" s="125">
        <v>2602146</v>
      </c>
      <c r="E51" s="125">
        <v>31242426</v>
      </c>
      <c r="F51" s="125">
        <v>32939364</v>
      </c>
      <c r="G51" s="125">
        <v>6056859</v>
      </c>
    </row>
    <row r="52" spans="1:7" x14ac:dyDescent="0.45">
      <c r="A52" s="9" t="s">
        <v>349</v>
      </c>
      <c r="B52" s="125">
        <v>703607</v>
      </c>
      <c r="C52" s="125">
        <v>178921</v>
      </c>
      <c r="D52" s="125">
        <v>230419</v>
      </c>
      <c r="E52" s="125">
        <v>191886</v>
      </c>
      <c r="F52" s="125">
        <v>428935</v>
      </c>
      <c r="G52" s="125">
        <v>506270</v>
      </c>
    </row>
    <row r="53" spans="1:7" x14ac:dyDescent="0.45">
      <c r="A53" s="9" t="s">
        <v>350</v>
      </c>
      <c r="B53" s="125">
        <v>72856781</v>
      </c>
      <c r="C53" s="125">
        <v>71293940</v>
      </c>
      <c r="D53" s="125">
        <v>77143458</v>
      </c>
      <c r="E53" s="125">
        <v>81540268</v>
      </c>
      <c r="F53" s="125">
        <v>101738175</v>
      </c>
      <c r="G53" s="125">
        <v>112174364</v>
      </c>
    </row>
    <row r="54" spans="1:7" x14ac:dyDescent="0.45">
      <c r="A54" s="9" t="s">
        <v>351</v>
      </c>
      <c r="B54" s="125">
        <v>13486759</v>
      </c>
      <c r="C54" s="125">
        <v>13889376</v>
      </c>
      <c r="D54" s="125">
        <v>14813597</v>
      </c>
      <c r="E54" s="125">
        <v>15802446</v>
      </c>
      <c r="F54" s="125">
        <v>22904262</v>
      </c>
      <c r="G54" s="125">
        <v>23292073</v>
      </c>
    </row>
    <row r="55" spans="1:7" x14ac:dyDescent="0.45">
      <c r="A55" s="9" t="s">
        <v>352</v>
      </c>
      <c r="B55" s="125">
        <v>56537316</v>
      </c>
      <c r="C55" s="125">
        <v>54461522</v>
      </c>
      <c r="D55" s="125">
        <v>59235558</v>
      </c>
      <c r="E55" s="125">
        <v>62506745</v>
      </c>
      <c r="F55" s="125">
        <v>75249228</v>
      </c>
      <c r="G55" s="125">
        <v>84933087</v>
      </c>
    </row>
    <row r="56" spans="1:7" x14ac:dyDescent="0.45">
      <c r="A56" s="9" t="s">
        <v>353</v>
      </c>
      <c r="B56" s="125">
        <v>2832706</v>
      </c>
      <c r="C56" s="125">
        <v>2943042</v>
      </c>
      <c r="D56" s="125">
        <v>3094303</v>
      </c>
      <c r="E56" s="125">
        <v>3231077</v>
      </c>
      <c r="F56" s="125">
        <v>3584685</v>
      </c>
      <c r="G56" s="125">
        <v>3949204</v>
      </c>
    </row>
    <row r="57" spans="1:7" x14ac:dyDescent="0.45">
      <c r="A57" s="9" t="s">
        <v>354</v>
      </c>
      <c r="B57" s="125">
        <v>63307073</v>
      </c>
      <c r="C57" s="125">
        <v>59856689</v>
      </c>
      <c r="D57" s="125">
        <v>64838856</v>
      </c>
      <c r="E57" s="125">
        <v>70971266</v>
      </c>
      <c r="F57" s="125">
        <v>90160933</v>
      </c>
      <c r="G57" s="125">
        <v>113970477</v>
      </c>
    </row>
    <row r="58" spans="1:7" x14ac:dyDescent="0.45">
      <c r="A58" s="9" t="s">
        <v>355</v>
      </c>
      <c r="B58" s="125">
        <v>18102887</v>
      </c>
      <c r="C58" s="125">
        <v>16971992</v>
      </c>
      <c r="D58" s="125">
        <v>16735638</v>
      </c>
      <c r="E58" s="125">
        <v>18615833</v>
      </c>
      <c r="F58" s="125">
        <v>25477762</v>
      </c>
      <c r="G58" s="125">
        <v>30416061</v>
      </c>
    </row>
    <row r="59" spans="1:7" x14ac:dyDescent="0.45">
      <c r="A59" s="9" t="s">
        <v>356</v>
      </c>
      <c r="B59" s="125">
        <v>11402664</v>
      </c>
      <c r="C59" s="125">
        <v>10605535</v>
      </c>
      <c r="D59" s="125">
        <v>11982789</v>
      </c>
      <c r="E59" s="125">
        <v>13930869</v>
      </c>
      <c r="F59" s="125">
        <v>15647878</v>
      </c>
      <c r="G59" s="125">
        <v>17447093</v>
      </c>
    </row>
    <row r="60" spans="1:7" x14ac:dyDescent="0.45">
      <c r="A60" s="9" t="s">
        <v>357</v>
      </c>
      <c r="B60" s="125">
        <v>838164</v>
      </c>
      <c r="C60" s="125">
        <v>755141</v>
      </c>
      <c r="D60" s="125">
        <v>710103</v>
      </c>
      <c r="E60" s="125">
        <v>436537</v>
      </c>
      <c r="F60" s="125">
        <v>645258</v>
      </c>
      <c r="G60" s="125">
        <v>704183</v>
      </c>
    </row>
    <row r="61" spans="1:7" x14ac:dyDescent="0.45">
      <c r="A61" s="9" t="s">
        <v>358</v>
      </c>
      <c r="B61" s="125">
        <v>8426861</v>
      </c>
      <c r="C61" s="125">
        <v>6698187</v>
      </c>
      <c r="D61" s="125">
        <v>7286721</v>
      </c>
      <c r="E61" s="125">
        <v>7214879</v>
      </c>
      <c r="F61" s="125">
        <v>7995175</v>
      </c>
      <c r="G61" s="125">
        <v>9884712</v>
      </c>
    </row>
    <row r="62" spans="1:7" x14ac:dyDescent="0.45">
      <c r="A62" s="9" t="s">
        <v>359</v>
      </c>
      <c r="B62" s="125">
        <v>3729509</v>
      </c>
      <c r="C62" s="125">
        <v>4010267</v>
      </c>
      <c r="D62" s="125">
        <v>4473418</v>
      </c>
      <c r="E62" s="125">
        <v>4586042</v>
      </c>
      <c r="F62" s="125">
        <v>5231426</v>
      </c>
      <c r="G62" s="125">
        <v>7192780</v>
      </c>
    </row>
    <row r="63" spans="1:7" x14ac:dyDescent="0.45">
      <c r="A63" s="9" t="s">
        <v>360</v>
      </c>
      <c r="B63" s="125">
        <v>19237100</v>
      </c>
      <c r="C63" s="125">
        <v>18950460</v>
      </c>
      <c r="D63" s="125">
        <v>21931981</v>
      </c>
      <c r="E63" s="125">
        <v>24749057</v>
      </c>
      <c r="F63" s="125">
        <v>32871840</v>
      </c>
      <c r="G63" s="125">
        <v>45694915</v>
      </c>
    </row>
    <row r="64" spans="1:7" x14ac:dyDescent="0.45">
      <c r="A64" s="9" t="s">
        <v>361</v>
      </c>
      <c r="B64" s="125">
        <v>1569888</v>
      </c>
      <c r="C64" s="125">
        <v>1865107</v>
      </c>
      <c r="D64" s="125">
        <v>1718206</v>
      </c>
      <c r="E64" s="125">
        <v>1438049</v>
      </c>
      <c r="F64" s="125">
        <v>2291594</v>
      </c>
      <c r="G64" s="125">
        <v>2630733</v>
      </c>
    </row>
    <row r="65" spans="1:7" x14ac:dyDescent="0.45">
      <c r="A65" s="9" t="s">
        <v>362</v>
      </c>
      <c r="B65" s="125">
        <v>69690986</v>
      </c>
      <c r="C65" s="125">
        <v>64847004</v>
      </c>
      <c r="D65" s="125">
        <v>44539980</v>
      </c>
      <c r="E65" s="125">
        <v>28923176</v>
      </c>
      <c r="F65" s="125">
        <v>77277010</v>
      </c>
      <c r="G65" s="125">
        <v>86273642</v>
      </c>
    </row>
    <row r="66" spans="1:7" x14ac:dyDescent="0.45">
      <c r="A66" s="9" t="s">
        <v>363</v>
      </c>
      <c r="B66" s="125">
        <v>68026581</v>
      </c>
      <c r="C66" s="125">
        <v>62552376</v>
      </c>
      <c r="D66" s="125">
        <v>41096997</v>
      </c>
      <c r="E66" s="125">
        <v>25738494</v>
      </c>
      <c r="F66" s="125">
        <v>74267429</v>
      </c>
      <c r="G66" s="125">
        <v>82425537</v>
      </c>
    </row>
    <row r="67" spans="1:7" x14ac:dyDescent="0.45">
      <c r="A67" s="9" t="s">
        <v>364</v>
      </c>
      <c r="B67" s="125">
        <v>1664405</v>
      </c>
      <c r="C67" s="125">
        <v>2294628</v>
      </c>
      <c r="D67" s="125">
        <v>3442983</v>
      </c>
      <c r="E67" s="125">
        <v>3184682</v>
      </c>
      <c r="F67" s="125">
        <v>3009581</v>
      </c>
      <c r="G67" s="125">
        <v>3848105</v>
      </c>
    </row>
    <row r="68" spans="1:7" x14ac:dyDescent="0.45">
      <c r="A68" s="9" t="s">
        <v>365</v>
      </c>
      <c r="B68" s="125">
        <v>10967361</v>
      </c>
      <c r="C68" s="125">
        <v>13536981</v>
      </c>
      <c r="D68" s="125">
        <v>13546475</v>
      </c>
      <c r="E68" s="125">
        <v>12338998</v>
      </c>
      <c r="F68" s="125">
        <v>13405811</v>
      </c>
      <c r="G68" s="125">
        <v>16634359</v>
      </c>
    </row>
    <row r="69" spans="1:7" x14ac:dyDescent="0.45">
      <c r="A69" s="9" t="s">
        <v>366</v>
      </c>
      <c r="B69" s="125">
        <v>8870183</v>
      </c>
      <c r="C69" s="125">
        <v>11715305</v>
      </c>
      <c r="D69" s="125">
        <v>11642682</v>
      </c>
      <c r="E69" s="125">
        <v>10446358</v>
      </c>
      <c r="F69" s="125">
        <v>10966550</v>
      </c>
      <c r="G69" s="125">
        <v>14121940</v>
      </c>
    </row>
    <row r="70" spans="1:7" x14ac:dyDescent="0.45">
      <c r="A70" s="9" t="s">
        <v>367</v>
      </c>
      <c r="B70" s="125">
        <v>2097178</v>
      </c>
      <c r="C70" s="125">
        <v>1821676</v>
      </c>
      <c r="D70" s="125">
        <v>1903793</v>
      </c>
      <c r="E70" s="125">
        <v>1892640</v>
      </c>
      <c r="F70" s="125">
        <v>2439261</v>
      </c>
      <c r="G70" s="125">
        <v>2512419</v>
      </c>
    </row>
    <row r="71" spans="1:7" x14ac:dyDescent="0.45">
      <c r="A71" s="9" t="s">
        <v>368</v>
      </c>
      <c r="B71" s="125">
        <v>64616070</v>
      </c>
      <c r="C71" s="125">
        <v>69544145</v>
      </c>
      <c r="D71" s="125">
        <v>73815500</v>
      </c>
      <c r="E71" s="125">
        <v>74024860</v>
      </c>
      <c r="F71" s="125">
        <v>82464968</v>
      </c>
      <c r="G71" s="125">
        <v>99588560</v>
      </c>
    </row>
    <row r="72" spans="1:7" x14ac:dyDescent="0.45">
      <c r="A72" s="9" t="s">
        <v>369</v>
      </c>
      <c r="B72" s="125">
        <v>9423986</v>
      </c>
      <c r="C72" s="125">
        <v>9633218</v>
      </c>
      <c r="D72" s="125">
        <v>10397791</v>
      </c>
      <c r="E72" s="125">
        <v>11073282</v>
      </c>
      <c r="F72" s="125">
        <v>11135669</v>
      </c>
      <c r="G72" s="125">
        <v>16676308</v>
      </c>
    </row>
    <row r="73" spans="1:7" x14ac:dyDescent="0.45">
      <c r="A73" s="9" t="s">
        <v>370</v>
      </c>
      <c r="B73" s="125">
        <v>13501768</v>
      </c>
      <c r="C73" s="125">
        <v>13637063</v>
      </c>
      <c r="D73" s="125">
        <v>14315802</v>
      </c>
      <c r="E73" s="125">
        <v>15075841</v>
      </c>
      <c r="F73" s="125">
        <v>17500256</v>
      </c>
      <c r="G73" s="125">
        <v>16166490</v>
      </c>
    </row>
    <row r="74" spans="1:7" x14ac:dyDescent="0.45">
      <c r="A74" s="9" t="s">
        <v>371</v>
      </c>
      <c r="B74" s="125">
        <v>17197842</v>
      </c>
      <c r="C74" s="125">
        <v>17296591</v>
      </c>
      <c r="D74" s="125">
        <v>20092151</v>
      </c>
      <c r="E74" s="125">
        <v>21134971</v>
      </c>
      <c r="F74" s="125">
        <v>22247635</v>
      </c>
      <c r="G74" s="125">
        <v>28366276</v>
      </c>
    </row>
    <row r="75" spans="1:7" x14ac:dyDescent="0.45">
      <c r="A75" s="9" t="s">
        <v>372</v>
      </c>
      <c r="B75" s="125">
        <v>5643952</v>
      </c>
      <c r="C75" s="125">
        <v>5691700</v>
      </c>
      <c r="D75" s="125">
        <v>5901406</v>
      </c>
      <c r="E75" s="125">
        <v>5385282</v>
      </c>
      <c r="F75" s="125">
        <v>6259745</v>
      </c>
      <c r="G75" s="125">
        <v>7142759</v>
      </c>
    </row>
    <row r="76" spans="1:7" x14ac:dyDescent="0.45">
      <c r="A76" s="9" t="s">
        <v>373</v>
      </c>
      <c r="B76" s="125">
        <v>6957663</v>
      </c>
      <c r="C76" s="125">
        <v>7282496</v>
      </c>
      <c r="D76" s="125">
        <v>7502300</v>
      </c>
      <c r="E76" s="125">
        <v>7106445</v>
      </c>
      <c r="F76" s="125">
        <v>8017055</v>
      </c>
      <c r="G76" s="125">
        <v>9170108</v>
      </c>
    </row>
    <row r="77" spans="1:7" x14ac:dyDescent="0.45">
      <c r="A77" s="9" t="s">
        <v>374</v>
      </c>
      <c r="B77" s="125">
        <v>613011</v>
      </c>
      <c r="C77" s="125">
        <v>481359</v>
      </c>
      <c r="D77" s="125">
        <v>569338</v>
      </c>
      <c r="E77" s="125">
        <v>633915</v>
      </c>
      <c r="F77" s="125">
        <v>710372</v>
      </c>
      <c r="G77" s="125">
        <v>906554</v>
      </c>
    </row>
    <row r="78" spans="1:7" x14ac:dyDescent="0.45">
      <c r="A78" s="9" t="s">
        <v>375</v>
      </c>
      <c r="B78" s="125">
        <v>11277848</v>
      </c>
      <c r="C78" s="125">
        <v>15521718</v>
      </c>
      <c r="D78" s="125">
        <v>15036712</v>
      </c>
      <c r="E78" s="125">
        <v>13615124</v>
      </c>
      <c r="F78" s="125">
        <v>16594236</v>
      </c>
      <c r="G78" s="125">
        <v>21160065</v>
      </c>
    </row>
    <row r="79" spans="1:7" x14ac:dyDescent="0.45">
      <c r="A79" s="9" t="s">
        <v>376</v>
      </c>
      <c r="B79" s="125">
        <v>79070145</v>
      </c>
      <c r="C79" s="125">
        <v>77744762</v>
      </c>
      <c r="D79" s="125">
        <v>81722961</v>
      </c>
      <c r="E79" s="125">
        <v>91883340</v>
      </c>
      <c r="F79" s="125">
        <v>98709162</v>
      </c>
      <c r="G79" s="125">
        <v>110875529</v>
      </c>
    </row>
    <row r="80" spans="1:7" x14ac:dyDescent="0.45">
      <c r="A80" s="9" t="s">
        <v>377</v>
      </c>
      <c r="B80" s="125">
        <v>47423633</v>
      </c>
      <c r="C80" s="125">
        <v>46584860</v>
      </c>
      <c r="D80" s="125">
        <v>50859773</v>
      </c>
      <c r="E80" s="125">
        <v>57519659</v>
      </c>
      <c r="F80" s="125">
        <v>61753832</v>
      </c>
      <c r="G80" s="125">
        <v>70728157</v>
      </c>
    </row>
    <row r="81" spans="1:7" x14ac:dyDescent="0.45">
      <c r="A81" s="9" t="s">
        <v>378</v>
      </c>
      <c r="B81" s="125">
        <v>3086015</v>
      </c>
      <c r="C81" s="125">
        <v>2976812</v>
      </c>
      <c r="D81" s="125">
        <v>2663714</v>
      </c>
      <c r="E81" s="125">
        <v>2843167</v>
      </c>
      <c r="F81" s="125">
        <v>3037748</v>
      </c>
      <c r="G81" s="125">
        <v>4067201</v>
      </c>
    </row>
    <row r="82" spans="1:7" x14ac:dyDescent="0.45">
      <c r="A82" s="9" t="s">
        <v>379</v>
      </c>
      <c r="B82" s="125">
        <v>2354568</v>
      </c>
      <c r="C82" s="125">
        <v>3004439</v>
      </c>
      <c r="D82" s="125">
        <v>2874129</v>
      </c>
      <c r="E82" s="125">
        <v>3158595</v>
      </c>
      <c r="F82" s="125">
        <v>3887971</v>
      </c>
      <c r="G82" s="125">
        <v>4488043</v>
      </c>
    </row>
    <row r="83" spans="1:7" x14ac:dyDescent="0.45">
      <c r="A83" s="9" t="s">
        <v>380</v>
      </c>
      <c r="B83" s="125">
        <v>41983050</v>
      </c>
      <c r="C83" s="125">
        <v>40603609</v>
      </c>
      <c r="D83" s="125">
        <v>45321930</v>
      </c>
      <c r="E83" s="125">
        <v>51517897</v>
      </c>
      <c r="F83" s="125">
        <v>54828113</v>
      </c>
      <c r="G83" s="125">
        <v>62172913</v>
      </c>
    </row>
    <row r="84" spans="1:7" x14ac:dyDescent="0.45">
      <c r="A84" s="9" t="s">
        <v>381</v>
      </c>
      <c r="B84" s="125">
        <v>31646512</v>
      </c>
      <c r="C84" s="125">
        <v>31159902</v>
      </c>
      <c r="D84" s="125">
        <v>30863188</v>
      </c>
      <c r="E84" s="125">
        <v>34363681</v>
      </c>
      <c r="F84" s="125">
        <v>36955330</v>
      </c>
      <c r="G84" s="125">
        <v>40147372</v>
      </c>
    </row>
    <row r="85" spans="1:7" x14ac:dyDescent="0.45">
      <c r="A85" s="9" t="s">
        <v>382</v>
      </c>
      <c r="B85" s="125">
        <v>1798032</v>
      </c>
      <c r="C85" s="125">
        <v>1871671</v>
      </c>
      <c r="D85" s="125">
        <v>2009715</v>
      </c>
      <c r="E85" s="125">
        <v>1999291</v>
      </c>
      <c r="F85" s="125">
        <v>2203675</v>
      </c>
      <c r="G85" s="125">
        <v>2596934</v>
      </c>
    </row>
    <row r="86" spans="1:7" x14ac:dyDescent="0.45">
      <c r="A86" s="9" t="s">
        <v>383</v>
      </c>
      <c r="B86" s="125">
        <v>29848480</v>
      </c>
      <c r="C86" s="125">
        <v>29288231</v>
      </c>
      <c r="D86" s="125">
        <v>28853473</v>
      </c>
      <c r="E86" s="125">
        <v>32364390</v>
      </c>
      <c r="F86" s="125">
        <v>34751655</v>
      </c>
      <c r="G86" s="125">
        <v>37550438</v>
      </c>
    </row>
    <row r="87" spans="1:7" x14ac:dyDescent="0.45">
      <c r="A87" s="9" t="s">
        <v>384</v>
      </c>
      <c r="B87" s="125">
        <v>12521523</v>
      </c>
      <c r="C87" s="125">
        <v>12760636</v>
      </c>
      <c r="D87" s="125">
        <v>13784626</v>
      </c>
      <c r="E87" s="125">
        <v>14579518</v>
      </c>
      <c r="F87" s="125">
        <v>15514781</v>
      </c>
      <c r="G87" s="125">
        <v>16807432</v>
      </c>
    </row>
    <row r="88" spans="1:7" x14ac:dyDescent="0.45">
      <c r="A88" s="9" t="s">
        <v>385</v>
      </c>
      <c r="B88" s="125">
        <v>4954709</v>
      </c>
      <c r="C88" s="125">
        <v>5210331</v>
      </c>
      <c r="D88" s="125">
        <v>5902800</v>
      </c>
      <c r="E88" s="125">
        <v>5731856</v>
      </c>
      <c r="F88" s="125">
        <v>6516953</v>
      </c>
      <c r="G88" s="125">
        <v>8125569</v>
      </c>
    </row>
    <row r="89" spans="1:7" x14ac:dyDescent="0.45">
      <c r="A89" s="9" t="s">
        <v>386</v>
      </c>
      <c r="B89" s="125">
        <v>4954709</v>
      </c>
      <c r="C89" s="125">
        <v>5210331</v>
      </c>
      <c r="D89" s="125">
        <v>5902800</v>
      </c>
      <c r="E89" s="125">
        <v>5731856</v>
      </c>
      <c r="F89" s="125">
        <v>6516953</v>
      </c>
      <c r="G89" s="125">
        <v>8125569</v>
      </c>
    </row>
    <row r="90" spans="1:7" x14ac:dyDescent="0.45">
      <c r="A90" s="9" t="s">
        <v>387</v>
      </c>
      <c r="B90" s="125">
        <v>7566814</v>
      </c>
      <c r="C90" s="125">
        <v>7550305</v>
      </c>
      <c r="D90" s="125">
        <v>7881826</v>
      </c>
      <c r="E90" s="125">
        <v>8847662</v>
      </c>
      <c r="F90" s="125">
        <v>8997828</v>
      </c>
      <c r="G90" s="125">
        <v>8681863</v>
      </c>
    </row>
    <row r="91" spans="1:7" x14ac:dyDescent="0.45">
      <c r="A91" s="9" t="s">
        <v>388</v>
      </c>
      <c r="B91" s="125">
        <v>7566814</v>
      </c>
      <c r="C91" s="125">
        <v>7550305</v>
      </c>
      <c r="D91" s="125">
        <v>7881826</v>
      </c>
      <c r="E91" s="125">
        <v>8847662</v>
      </c>
      <c r="F91" s="125">
        <v>8997828</v>
      </c>
      <c r="G91" s="125">
        <v>8681863</v>
      </c>
    </row>
    <row r="92" spans="1:7" x14ac:dyDescent="0.45">
      <c r="A92" s="9" t="s">
        <v>389</v>
      </c>
      <c r="B92" s="125">
        <v>37210600</v>
      </c>
      <c r="C92" s="125">
        <v>40994125</v>
      </c>
      <c r="D92" s="125">
        <v>42490264</v>
      </c>
      <c r="E92" s="125">
        <v>44394150</v>
      </c>
      <c r="F92" s="125">
        <v>45181697</v>
      </c>
      <c r="G92" s="125">
        <v>66821160</v>
      </c>
    </row>
    <row r="93" spans="1:7" x14ac:dyDescent="0.45">
      <c r="A93" s="9" t="s">
        <v>390</v>
      </c>
      <c r="B93" s="125">
        <v>5422492</v>
      </c>
      <c r="C93" s="125">
        <v>6027872</v>
      </c>
      <c r="D93" s="125">
        <v>6206759</v>
      </c>
      <c r="E93" s="125">
        <v>6479020</v>
      </c>
      <c r="F93" s="125">
        <v>7143288</v>
      </c>
      <c r="G93" s="125">
        <v>10946920</v>
      </c>
    </row>
    <row r="94" spans="1:7" x14ac:dyDescent="0.45">
      <c r="A94" s="9" t="s">
        <v>391</v>
      </c>
      <c r="B94" s="125">
        <v>3475012</v>
      </c>
      <c r="C94" s="125">
        <v>4007398</v>
      </c>
      <c r="D94" s="125">
        <v>4381675</v>
      </c>
      <c r="E94" s="125">
        <v>4580524</v>
      </c>
      <c r="F94" s="125">
        <v>5034291</v>
      </c>
      <c r="G94" s="125">
        <v>7824178</v>
      </c>
    </row>
    <row r="95" spans="1:7" x14ac:dyDescent="0.45">
      <c r="A95" s="9" t="s">
        <v>392</v>
      </c>
      <c r="B95" s="125">
        <v>429152</v>
      </c>
      <c r="C95" s="125">
        <v>402478</v>
      </c>
      <c r="D95" s="125">
        <v>471839</v>
      </c>
      <c r="E95" s="125">
        <v>476537</v>
      </c>
      <c r="F95" s="125">
        <v>499279</v>
      </c>
      <c r="G95" s="125">
        <v>714343</v>
      </c>
    </row>
    <row r="96" spans="1:7" x14ac:dyDescent="0.45">
      <c r="A96" s="9" t="s">
        <v>393</v>
      </c>
      <c r="B96" s="125">
        <v>680924</v>
      </c>
      <c r="C96" s="125">
        <v>726792</v>
      </c>
      <c r="D96" s="125">
        <v>681552</v>
      </c>
      <c r="E96" s="125">
        <v>790982</v>
      </c>
      <c r="F96" s="125">
        <v>988921</v>
      </c>
      <c r="G96" s="125">
        <v>1594975</v>
      </c>
    </row>
    <row r="97" spans="1:7" x14ac:dyDescent="0.45">
      <c r="A97" s="9" t="s">
        <v>394</v>
      </c>
      <c r="B97" s="125">
        <v>837404</v>
      </c>
      <c r="C97" s="125">
        <v>891204</v>
      </c>
      <c r="D97" s="125">
        <v>671693</v>
      </c>
      <c r="E97" s="125">
        <v>630977</v>
      </c>
      <c r="F97" s="125">
        <v>620797</v>
      </c>
      <c r="G97" s="125">
        <v>813424</v>
      </c>
    </row>
    <row r="98" spans="1:7" x14ac:dyDescent="0.45">
      <c r="A98" s="9" t="s">
        <v>395</v>
      </c>
      <c r="B98" s="125">
        <v>13830920</v>
      </c>
      <c r="C98" s="125">
        <v>14904219</v>
      </c>
      <c r="D98" s="125">
        <v>14563377</v>
      </c>
      <c r="E98" s="125">
        <v>14700453</v>
      </c>
      <c r="F98" s="125">
        <v>14521029</v>
      </c>
      <c r="G98" s="125">
        <v>21339101</v>
      </c>
    </row>
    <row r="99" spans="1:7" x14ac:dyDescent="0.45">
      <c r="A99" s="9" t="s">
        <v>396</v>
      </c>
      <c r="B99" s="125">
        <v>9040789</v>
      </c>
      <c r="C99" s="125">
        <v>9655780</v>
      </c>
      <c r="D99" s="125">
        <v>9721186</v>
      </c>
      <c r="E99" s="125">
        <v>9832695</v>
      </c>
      <c r="F99" s="125">
        <v>9136265</v>
      </c>
      <c r="G99" s="125">
        <v>13605142</v>
      </c>
    </row>
    <row r="100" spans="1:7" x14ac:dyDescent="0.45">
      <c r="A100" s="9" t="s">
        <v>397</v>
      </c>
      <c r="B100" s="125">
        <v>210790</v>
      </c>
      <c r="C100" s="125">
        <v>214425</v>
      </c>
      <c r="D100" s="125">
        <v>229405</v>
      </c>
      <c r="E100" s="125">
        <v>268361</v>
      </c>
      <c r="F100" s="125">
        <v>519473</v>
      </c>
      <c r="G100" s="125">
        <v>675741</v>
      </c>
    </row>
    <row r="101" spans="1:7" x14ac:dyDescent="0.45">
      <c r="A101" s="9" t="s">
        <v>398</v>
      </c>
      <c r="B101" s="125">
        <v>4579341</v>
      </c>
      <c r="C101" s="125">
        <v>5034014</v>
      </c>
      <c r="D101" s="125">
        <v>4612786</v>
      </c>
      <c r="E101" s="125">
        <v>4599397</v>
      </c>
      <c r="F101" s="125">
        <v>4865291</v>
      </c>
      <c r="G101" s="125">
        <v>7058218</v>
      </c>
    </row>
    <row r="102" spans="1:7" x14ac:dyDescent="0.45">
      <c r="A102" s="9" t="s">
        <v>399</v>
      </c>
      <c r="B102" s="125">
        <v>5247607</v>
      </c>
      <c r="C102" s="125">
        <v>6204679</v>
      </c>
      <c r="D102" s="125">
        <v>6840737</v>
      </c>
      <c r="E102" s="125">
        <v>7215027</v>
      </c>
      <c r="F102" s="125">
        <v>6509887</v>
      </c>
      <c r="G102" s="125">
        <v>9369843</v>
      </c>
    </row>
    <row r="103" spans="1:7" x14ac:dyDescent="0.45">
      <c r="A103" s="9" t="s">
        <v>400</v>
      </c>
      <c r="B103" s="125">
        <v>5247607</v>
      </c>
      <c r="C103" s="125">
        <v>6204679</v>
      </c>
      <c r="D103" s="125">
        <v>6840737</v>
      </c>
      <c r="E103" s="125">
        <v>7215027</v>
      </c>
      <c r="F103" s="125">
        <v>6509887</v>
      </c>
      <c r="G103" s="125">
        <v>9369843</v>
      </c>
    </row>
    <row r="104" spans="1:7" x14ac:dyDescent="0.45">
      <c r="A104" s="9" t="s">
        <v>401</v>
      </c>
      <c r="B104" s="125">
        <v>2425734</v>
      </c>
      <c r="C104" s="125">
        <v>2522073</v>
      </c>
      <c r="D104" s="125">
        <v>2403976</v>
      </c>
      <c r="E104" s="125">
        <v>2643104</v>
      </c>
      <c r="F104" s="125">
        <v>2425952</v>
      </c>
      <c r="G104" s="125">
        <v>3405842</v>
      </c>
    </row>
    <row r="105" spans="1:7" x14ac:dyDescent="0.45">
      <c r="A105" s="9" t="s">
        <v>402</v>
      </c>
      <c r="B105" s="125">
        <v>2425734</v>
      </c>
      <c r="C105" s="125">
        <v>2522073</v>
      </c>
      <c r="D105" s="125">
        <v>2403976</v>
      </c>
      <c r="E105" s="125">
        <v>2643104</v>
      </c>
      <c r="F105" s="125">
        <v>2425952</v>
      </c>
      <c r="G105" s="125">
        <v>3405842</v>
      </c>
    </row>
    <row r="106" spans="1:7" x14ac:dyDescent="0.45">
      <c r="A106" s="9" t="s">
        <v>403</v>
      </c>
      <c r="B106" s="125">
        <v>10283847</v>
      </c>
      <c r="C106" s="125">
        <v>11335282</v>
      </c>
      <c r="D106" s="125">
        <v>12475415</v>
      </c>
      <c r="E106" s="125">
        <v>13356546</v>
      </c>
      <c r="F106" s="125">
        <v>14581541</v>
      </c>
      <c r="G106" s="125">
        <v>21759454</v>
      </c>
    </row>
    <row r="107" spans="1:7" x14ac:dyDescent="0.45">
      <c r="A107" s="9" t="s">
        <v>404</v>
      </c>
      <c r="B107" s="125">
        <v>2234414</v>
      </c>
      <c r="C107" s="125">
        <v>2541930</v>
      </c>
      <c r="D107" s="125">
        <v>2564405</v>
      </c>
      <c r="E107" s="125">
        <v>2753923</v>
      </c>
      <c r="F107" s="125">
        <v>2785900</v>
      </c>
      <c r="G107" s="125">
        <v>3913833</v>
      </c>
    </row>
    <row r="108" spans="1:7" x14ac:dyDescent="0.45">
      <c r="A108" s="9" t="s">
        <v>405</v>
      </c>
      <c r="B108" s="125">
        <v>610507</v>
      </c>
      <c r="C108" s="125">
        <v>715721</v>
      </c>
      <c r="D108" s="125">
        <v>747825</v>
      </c>
      <c r="E108" s="125">
        <v>781758</v>
      </c>
      <c r="F108" s="125">
        <v>802190</v>
      </c>
      <c r="G108" s="125">
        <v>1240461</v>
      </c>
    </row>
    <row r="109" spans="1:7" x14ac:dyDescent="0.45">
      <c r="A109" s="9" t="s">
        <v>406</v>
      </c>
      <c r="B109" s="125">
        <v>606053</v>
      </c>
      <c r="C109" s="125">
        <v>732386</v>
      </c>
      <c r="D109" s="125">
        <v>799195</v>
      </c>
      <c r="E109" s="125">
        <v>823994</v>
      </c>
      <c r="F109" s="125">
        <v>776617</v>
      </c>
      <c r="G109" s="125">
        <v>988102</v>
      </c>
    </row>
    <row r="110" spans="1:7" x14ac:dyDescent="0.45">
      <c r="A110" s="9" t="s">
        <v>407</v>
      </c>
      <c r="B110" s="125">
        <v>4724965</v>
      </c>
      <c r="C110" s="125">
        <v>5014086</v>
      </c>
      <c r="D110" s="125">
        <v>5541448</v>
      </c>
      <c r="E110" s="125">
        <v>6046831</v>
      </c>
      <c r="F110" s="125">
        <v>6930443</v>
      </c>
      <c r="G110" s="125">
        <v>9831031</v>
      </c>
    </row>
    <row r="111" spans="1:7" x14ac:dyDescent="0.45">
      <c r="A111" s="9" t="s">
        <v>408</v>
      </c>
      <c r="B111" s="125">
        <v>2107908</v>
      </c>
      <c r="C111" s="125">
        <v>2331159</v>
      </c>
      <c r="D111" s="125">
        <v>2822542</v>
      </c>
      <c r="E111" s="125">
        <v>2950040</v>
      </c>
      <c r="F111" s="125">
        <v>3286391</v>
      </c>
      <c r="G111" s="125">
        <v>5786027</v>
      </c>
    </row>
    <row r="112" spans="1:7" x14ac:dyDescent="0.45">
      <c r="A112" s="9" t="s">
        <v>409</v>
      </c>
      <c r="B112" s="125">
        <v>35524050</v>
      </c>
      <c r="C112" s="125">
        <v>37991288</v>
      </c>
      <c r="D112" s="125">
        <v>37102688</v>
      </c>
      <c r="E112" s="125">
        <v>38201460</v>
      </c>
      <c r="F112" s="125">
        <v>33933117</v>
      </c>
      <c r="G112" s="125">
        <v>46617846</v>
      </c>
    </row>
    <row r="113" spans="1:7" x14ac:dyDescent="0.45">
      <c r="A113" s="9" t="s">
        <v>410</v>
      </c>
      <c r="B113" s="125">
        <v>34502543</v>
      </c>
      <c r="C113" s="125">
        <v>36995759</v>
      </c>
      <c r="D113" s="125">
        <v>36014564</v>
      </c>
      <c r="E113" s="125">
        <v>37185133</v>
      </c>
      <c r="F113" s="125">
        <v>32943881</v>
      </c>
      <c r="G113" s="125">
        <v>45629425</v>
      </c>
    </row>
    <row r="114" spans="1:7" x14ac:dyDescent="0.45">
      <c r="A114" s="9" t="s">
        <v>411</v>
      </c>
      <c r="B114" s="125">
        <v>4685998</v>
      </c>
      <c r="C114" s="125">
        <v>5075655</v>
      </c>
      <c r="D114" s="125">
        <v>4989895</v>
      </c>
      <c r="E114" s="125">
        <v>4969080</v>
      </c>
      <c r="F114" s="125">
        <v>4749944</v>
      </c>
      <c r="G114" s="125">
        <v>6881020</v>
      </c>
    </row>
    <row r="115" spans="1:7" x14ac:dyDescent="0.45">
      <c r="A115" s="9" t="s">
        <v>412</v>
      </c>
      <c r="B115" s="125">
        <v>28462053</v>
      </c>
      <c r="C115" s="125">
        <v>30030582</v>
      </c>
      <c r="D115" s="125">
        <v>29020520</v>
      </c>
      <c r="E115" s="125">
        <v>30250520</v>
      </c>
      <c r="F115" s="125">
        <v>26027307</v>
      </c>
      <c r="G115" s="125">
        <v>36171396</v>
      </c>
    </row>
    <row r="116" spans="1:7" x14ac:dyDescent="0.45">
      <c r="A116" s="9" t="s">
        <v>413</v>
      </c>
      <c r="B116" s="125">
        <v>920513</v>
      </c>
      <c r="C116" s="125">
        <v>1470751</v>
      </c>
      <c r="D116" s="125">
        <v>1546544</v>
      </c>
      <c r="E116" s="125">
        <v>1472338</v>
      </c>
      <c r="F116" s="125">
        <v>1721125</v>
      </c>
      <c r="G116" s="125">
        <v>2002828</v>
      </c>
    </row>
    <row r="117" spans="1:7" x14ac:dyDescent="0.45">
      <c r="A117" s="9" t="s">
        <v>414</v>
      </c>
      <c r="B117" s="125">
        <v>433979</v>
      </c>
      <c r="C117" s="125">
        <v>418771</v>
      </c>
      <c r="D117" s="125">
        <v>457605</v>
      </c>
      <c r="E117" s="125">
        <v>493195</v>
      </c>
      <c r="F117" s="125">
        <v>445505</v>
      </c>
      <c r="G117" s="125">
        <v>574181</v>
      </c>
    </row>
    <row r="118" spans="1:7" x14ac:dyDescent="0.45">
      <c r="A118" s="9" t="s">
        <v>415</v>
      </c>
      <c r="B118" s="125">
        <v>1021507</v>
      </c>
      <c r="C118" s="125">
        <v>995529</v>
      </c>
      <c r="D118" s="125">
        <v>1088124</v>
      </c>
      <c r="E118" s="125">
        <v>1016327</v>
      </c>
      <c r="F118" s="125">
        <v>989236</v>
      </c>
      <c r="G118" s="125">
        <v>988421</v>
      </c>
    </row>
    <row r="119" spans="1:7" x14ac:dyDescent="0.45">
      <c r="A119" s="9" t="s">
        <v>416</v>
      </c>
      <c r="B119" s="125">
        <v>802212</v>
      </c>
      <c r="C119" s="125">
        <v>837168</v>
      </c>
      <c r="D119" s="125">
        <v>957497</v>
      </c>
      <c r="E119" s="125">
        <v>874195</v>
      </c>
      <c r="F119" s="125">
        <v>851159</v>
      </c>
      <c r="G119" s="125">
        <v>825378</v>
      </c>
    </row>
    <row r="120" spans="1:7" x14ac:dyDescent="0.45">
      <c r="A120" s="9" t="s">
        <v>417</v>
      </c>
      <c r="B120" s="125">
        <v>219295</v>
      </c>
      <c r="C120" s="125">
        <v>158361</v>
      </c>
      <c r="D120" s="125">
        <v>130627</v>
      </c>
      <c r="E120" s="125">
        <v>142132</v>
      </c>
      <c r="F120" s="125">
        <v>138077</v>
      </c>
      <c r="G120" s="125">
        <v>163043</v>
      </c>
    </row>
    <row r="121" spans="1:7" x14ac:dyDescent="0.45">
      <c r="A121" s="9" t="s">
        <v>418</v>
      </c>
      <c r="B121" s="125">
        <v>35163123</v>
      </c>
      <c r="C121" s="125">
        <v>35705755</v>
      </c>
      <c r="D121" s="125">
        <v>34621105</v>
      </c>
      <c r="E121" s="125">
        <v>34227791</v>
      </c>
      <c r="F121" s="125">
        <v>29671687</v>
      </c>
      <c r="G121" s="125">
        <v>41401052</v>
      </c>
    </row>
    <row r="122" spans="1:7" x14ac:dyDescent="0.45">
      <c r="A122" s="9" t="s">
        <v>419</v>
      </c>
      <c r="B122" s="125">
        <v>8787605</v>
      </c>
      <c r="C122" s="125">
        <v>8500146</v>
      </c>
      <c r="D122" s="125">
        <v>6955697</v>
      </c>
      <c r="E122" s="125">
        <v>5872480</v>
      </c>
      <c r="F122" s="125">
        <v>5970486</v>
      </c>
      <c r="G122" s="125">
        <v>10026478</v>
      </c>
    </row>
    <row r="123" spans="1:7" x14ac:dyDescent="0.45">
      <c r="A123" s="9" t="s">
        <v>420</v>
      </c>
      <c r="B123" s="125">
        <v>8787605</v>
      </c>
      <c r="C123" s="125">
        <v>8500146</v>
      </c>
      <c r="D123" s="125">
        <v>6955697</v>
      </c>
      <c r="E123" s="125">
        <v>5872480</v>
      </c>
      <c r="F123" s="125">
        <v>5970486</v>
      </c>
      <c r="G123" s="125">
        <v>10026478</v>
      </c>
    </row>
    <row r="124" spans="1:7" x14ac:dyDescent="0.45">
      <c r="A124" s="9" t="s">
        <v>421</v>
      </c>
      <c r="B124" s="125">
        <v>1223424</v>
      </c>
      <c r="C124" s="125">
        <v>1228200</v>
      </c>
      <c r="D124" s="125">
        <v>1164547</v>
      </c>
      <c r="E124" s="125">
        <v>1209323</v>
      </c>
      <c r="F124" s="125">
        <v>1083789</v>
      </c>
      <c r="G124" s="125">
        <v>1432799</v>
      </c>
    </row>
    <row r="125" spans="1:7" x14ac:dyDescent="0.45">
      <c r="A125" s="9" t="s">
        <v>422</v>
      </c>
      <c r="B125" s="125">
        <v>930188</v>
      </c>
      <c r="C125" s="125">
        <v>988549</v>
      </c>
      <c r="D125" s="125">
        <v>856100</v>
      </c>
      <c r="E125" s="125">
        <v>842282</v>
      </c>
      <c r="F125" s="125">
        <v>668213</v>
      </c>
      <c r="G125" s="125">
        <v>1015516</v>
      </c>
    </row>
    <row r="126" spans="1:7" x14ac:dyDescent="0.45">
      <c r="A126" s="9" t="s">
        <v>423</v>
      </c>
      <c r="B126" s="125">
        <v>293236</v>
      </c>
      <c r="C126" s="125">
        <v>239651</v>
      </c>
      <c r="D126" s="125">
        <v>308447</v>
      </c>
      <c r="E126" s="125">
        <v>367041</v>
      </c>
      <c r="F126" s="125">
        <v>415576</v>
      </c>
      <c r="G126" s="125">
        <v>417283</v>
      </c>
    </row>
    <row r="127" spans="1:7" x14ac:dyDescent="0.45">
      <c r="A127" s="9" t="s">
        <v>424</v>
      </c>
      <c r="B127" s="125">
        <v>23267553</v>
      </c>
      <c r="C127" s="125">
        <v>24180411</v>
      </c>
      <c r="D127" s="125">
        <v>24573069</v>
      </c>
      <c r="E127" s="125">
        <v>25178083</v>
      </c>
      <c r="F127" s="125">
        <v>20780530</v>
      </c>
      <c r="G127" s="125">
        <v>27777026</v>
      </c>
    </row>
    <row r="128" spans="1:7" x14ac:dyDescent="0.45">
      <c r="A128" s="9" t="s">
        <v>425</v>
      </c>
      <c r="B128" s="125">
        <v>9776595</v>
      </c>
      <c r="C128" s="125">
        <v>9226857</v>
      </c>
      <c r="D128" s="125">
        <v>9311329</v>
      </c>
      <c r="E128" s="125">
        <v>8922932</v>
      </c>
      <c r="F128" s="125">
        <v>6929676</v>
      </c>
      <c r="G128" s="125">
        <v>9602512</v>
      </c>
    </row>
    <row r="129" spans="1:7" x14ac:dyDescent="0.45">
      <c r="A129" s="9" t="s">
        <v>426</v>
      </c>
      <c r="B129" s="125">
        <v>2104437</v>
      </c>
      <c r="C129" s="125">
        <v>2158516</v>
      </c>
      <c r="D129" s="125">
        <v>2214272</v>
      </c>
      <c r="E129" s="125">
        <v>2142912</v>
      </c>
      <c r="F129" s="125">
        <v>1707128</v>
      </c>
      <c r="G129" s="125">
        <v>2591966</v>
      </c>
    </row>
    <row r="130" spans="1:7" x14ac:dyDescent="0.45">
      <c r="A130" s="9" t="s">
        <v>427</v>
      </c>
      <c r="B130" s="125">
        <v>7991512</v>
      </c>
      <c r="C130" s="125">
        <v>11996767</v>
      </c>
      <c r="D130" s="125">
        <v>12376482</v>
      </c>
      <c r="E130" s="125">
        <v>13583073</v>
      </c>
      <c r="F130" s="125">
        <v>11568497</v>
      </c>
      <c r="G130" s="125">
        <v>14755859</v>
      </c>
    </row>
    <row r="131" spans="1:7" x14ac:dyDescent="0.45">
      <c r="A131" s="9" t="s">
        <v>428</v>
      </c>
      <c r="B131" s="125">
        <v>3395009</v>
      </c>
      <c r="C131" s="125">
        <v>798271</v>
      </c>
      <c r="D131" s="125">
        <v>670986</v>
      </c>
      <c r="E131" s="125">
        <v>529166</v>
      </c>
      <c r="F131" s="125">
        <v>575229</v>
      </c>
      <c r="G131" s="125">
        <v>826689</v>
      </c>
    </row>
    <row r="132" spans="1:7" x14ac:dyDescent="0.45">
      <c r="A132" s="9" t="s">
        <v>429</v>
      </c>
      <c r="B132" s="125">
        <v>1884541</v>
      </c>
      <c r="C132" s="125">
        <v>1796998</v>
      </c>
      <c r="D132" s="125">
        <v>1927792</v>
      </c>
      <c r="E132" s="125">
        <v>1967905</v>
      </c>
      <c r="F132" s="125">
        <v>1836882</v>
      </c>
      <c r="G132" s="125">
        <v>2164749</v>
      </c>
    </row>
    <row r="133" spans="1:7" x14ac:dyDescent="0.45">
      <c r="A133" s="9" t="s">
        <v>430</v>
      </c>
      <c r="B133" s="125">
        <v>1884541</v>
      </c>
      <c r="C133" s="125">
        <v>1796998</v>
      </c>
      <c r="D133" s="125">
        <v>1927792</v>
      </c>
      <c r="E133" s="125">
        <v>1967905</v>
      </c>
      <c r="F133" s="125">
        <v>1836882</v>
      </c>
      <c r="G133" s="125">
        <v>2164749</v>
      </c>
    </row>
    <row r="134" spans="1:7" x14ac:dyDescent="0.45">
      <c r="A134" s="9" t="s">
        <v>431</v>
      </c>
      <c r="B134" s="125">
        <v>18801743</v>
      </c>
      <c r="C134" s="125">
        <v>20343394</v>
      </c>
      <c r="D134" s="125">
        <v>25023277</v>
      </c>
      <c r="E134" s="125">
        <v>25025748</v>
      </c>
      <c r="F134" s="125">
        <v>30830493</v>
      </c>
      <c r="G134" s="125">
        <v>48283902</v>
      </c>
    </row>
    <row r="135" spans="1:7" x14ac:dyDescent="0.45">
      <c r="A135" s="9" t="s">
        <v>432</v>
      </c>
      <c r="B135" s="125">
        <v>4662365</v>
      </c>
      <c r="C135" s="125">
        <v>4879704</v>
      </c>
      <c r="D135" s="125">
        <v>5904535</v>
      </c>
      <c r="E135" s="125">
        <v>6657753</v>
      </c>
      <c r="F135" s="125">
        <v>8268196</v>
      </c>
      <c r="G135" s="125">
        <v>11483492</v>
      </c>
    </row>
    <row r="136" spans="1:7" x14ac:dyDescent="0.45">
      <c r="A136" s="9" t="s">
        <v>433</v>
      </c>
      <c r="B136" s="125">
        <v>4662365</v>
      </c>
      <c r="C136" s="125">
        <v>4879704</v>
      </c>
      <c r="D136" s="125">
        <v>5904535</v>
      </c>
      <c r="E136" s="125">
        <v>6657753</v>
      </c>
      <c r="F136" s="125">
        <v>8268196</v>
      </c>
      <c r="G136" s="125">
        <v>11483492</v>
      </c>
    </row>
    <row r="137" spans="1:7" x14ac:dyDescent="0.45">
      <c r="A137" s="9" t="s">
        <v>434</v>
      </c>
      <c r="B137" s="125">
        <v>14139378</v>
      </c>
      <c r="C137" s="125">
        <v>15463690</v>
      </c>
      <c r="D137" s="125">
        <v>19118742</v>
      </c>
      <c r="E137" s="125">
        <v>18367995</v>
      </c>
      <c r="F137" s="125">
        <v>22562297</v>
      </c>
      <c r="G137" s="125">
        <v>36800410</v>
      </c>
    </row>
    <row r="138" spans="1:7" x14ac:dyDescent="0.45">
      <c r="A138" s="9" t="s">
        <v>435</v>
      </c>
      <c r="B138" s="125">
        <v>10466552</v>
      </c>
      <c r="C138" s="125">
        <v>11621630</v>
      </c>
      <c r="D138" s="125">
        <v>14784681</v>
      </c>
      <c r="E138" s="125">
        <v>13922846</v>
      </c>
      <c r="F138" s="125">
        <v>16806887</v>
      </c>
      <c r="G138" s="125">
        <v>28250904</v>
      </c>
    </row>
    <row r="139" spans="1:7" x14ac:dyDescent="0.45">
      <c r="A139" s="9" t="s">
        <v>436</v>
      </c>
      <c r="B139" s="125">
        <v>1762760</v>
      </c>
      <c r="C139" s="125">
        <v>1814922</v>
      </c>
      <c r="D139" s="125">
        <v>2031619</v>
      </c>
      <c r="E139" s="125">
        <v>2143812</v>
      </c>
      <c r="F139" s="125">
        <v>3054584</v>
      </c>
      <c r="G139" s="125">
        <v>4459675</v>
      </c>
    </row>
    <row r="140" spans="1:7" x14ac:dyDescent="0.45">
      <c r="A140" s="9" t="s">
        <v>437</v>
      </c>
      <c r="B140" s="125">
        <v>1151721</v>
      </c>
      <c r="C140" s="125">
        <v>1189669</v>
      </c>
      <c r="D140" s="125">
        <v>1399048</v>
      </c>
      <c r="E140" s="125">
        <v>1361764</v>
      </c>
      <c r="F140" s="125">
        <v>1532639</v>
      </c>
      <c r="G140" s="125">
        <v>2557673</v>
      </c>
    </row>
    <row r="141" spans="1:7" x14ac:dyDescent="0.45">
      <c r="A141" s="9" t="s">
        <v>438</v>
      </c>
      <c r="B141" s="125">
        <v>758345</v>
      </c>
      <c r="C141" s="125">
        <v>837469</v>
      </c>
      <c r="D141" s="125">
        <v>903394</v>
      </c>
      <c r="E141" s="125">
        <v>939573</v>
      </c>
      <c r="F141" s="125">
        <v>1168187</v>
      </c>
      <c r="G141" s="125">
        <v>1532158</v>
      </c>
    </row>
    <row r="142" spans="1:7" x14ac:dyDescent="0.45">
      <c r="A142" s="9" t="s">
        <v>439</v>
      </c>
      <c r="B142" s="125">
        <v>84711667</v>
      </c>
      <c r="C142" s="125">
        <v>86772291</v>
      </c>
      <c r="D142" s="125">
        <v>105016855</v>
      </c>
      <c r="E142" s="125">
        <v>105818195</v>
      </c>
      <c r="F142" s="125">
        <v>113156673</v>
      </c>
      <c r="G142" s="125">
        <v>149972154</v>
      </c>
    </row>
    <row r="143" spans="1:7" x14ac:dyDescent="0.45">
      <c r="A143" s="9" t="s">
        <v>440</v>
      </c>
      <c r="B143" s="125">
        <v>27108384</v>
      </c>
      <c r="C143" s="125">
        <v>28557276</v>
      </c>
      <c r="D143" s="125">
        <v>49944771</v>
      </c>
      <c r="E143" s="125">
        <v>34863386</v>
      </c>
      <c r="F143" s="125">
        <v>38295653</v>
      </c>
      <c r="G143" s="125">
        <v>67823454</v>
      </c>
    </row>
    <row r="144" spans="1:7" x14ac:dyDescent="0.45">
      <c r="A144" s="9" t="s">
        <v>441</v>
      </c>
      <c r="B144" s="125">
        <v>27108384</v>
      </c>
      <c r="C144" s="125">
        <v>28557276</v>
      </c>
      <c r="D144" s="125">
        <v>49944771</v>
      </c>
      <c r="E144" s="125">
        <v>34863386</v>
      </c>
      <c r="F144" s="125">
        <v>38295653</v>
      </c>
      <c r="G144" s="125">
        <v>67823454</v>
      </c>
    </row>
    <row r="145" spans="1:7" x14ac:dyDescent="0.45">
      <c r="A145" s="9" t="s">
        <v>442</v>
      </c>
      <c r="B145" s="125">
        <v>22710843</v>
      </c>
      <c r="C145" s="125">
        <v>23659187</v>
      </c>
      <c r="D145" s="125">
        <v>17580111</v>
      </c>
      <c r="E145" s="125">
        <v>31343064</v>
      </c>
      <c r="F145" s="125">
        <v>29973692</v>
      </c>
      <c r="G145" s="125">
        <v>27375937</v>
      </c>
    </row>
    <row r="146" spans="1:7" x14ac:dyDescent="0.45">
      <c r="A146" s="9" t="s">
        <v>443</v>
      </c>
      <c r="B146" s="125">
        <v>13975522</v>
      </c>
      <c r="C146" s="125">
        <v>13098039</v>
      </c>
      <c r="D146" s="125">
        <v>14677213</v>
      </c>
      <c r="E146" s="125">
        <v>17586778</v>
      </c>
      <c r="F146" s="125">
        <v>26770497</v>
      </c>
      <c r="G146" s="125">
        <v>22710692</v>
      </c>
    </row>
    <row r="147" spans="1:7" x14ac:dyDescent="0.45">
      <c r="A147" s="9" t="s">
        <v>444</v>
      </c>
      <c r="B147" s="125">
        <v>8735321</v>
      </c>
      <c r="C147" s="125">
        <v>10561148</v>
      </c>
      <c r="D147" s="125">
        <v>2902898</v>
      </c>
      <c r="E147" s="125">
        <v>13756286</v>
      </c>
      <c r="F147" s="125">
        <v>3203195</v>
      </c>
      <c r="G147" s="125">
        <v>4665245</v>
      </c>
    </row>
    <row r="148" spans="1:7" x14ac:dyDescent="0.45">
      <c r="A148" s="9" t="s">
        <v>445</v>
      </c>
      <c r="B148" s="125">
        <v>16897009</v>
      </c>
      <c r="C148" s="125">
        <v>16498767</v>
      </c>
      <c r="D148" s="125">
        <v>18054192</v>
      </c>
      <c r="E148" s="125">
        <v>18918403</v>
      </c>
      <c r="F148" s="125">
        <v>23492376</v>
      </c>
      <c r="G148" s="125">
        <v>30882389</v>
      </c>
    </row>
    <row r="149" spans="1:7" x14ac:dyDescent="0.45">
      <c r="A149" s="9" t="s">
        <v>446</v>
      </c>
      <c r="B149" s="125">
        <v>2571712</v>
      </c>
      <c r="C149" s="125">
        <v>2419203</v>
      </c>
      <c r="D149" s="125">
        <v>2673592</v>
      </c>
      <c r="E149" s="125">
        <v>2690493</v>
      </c>
      <c r="F149" s="125">
        <v>3972538</v>
      </c>
      <c r="G149" s="125">
        <v>5493990</v>
      </c>
    </row>
    <row r="150" spans="1:7" x14ac:dyDescent="0.45">
      <c r="A150" s="9" t="s">
        <v>447</v>
      </c>
      <c r="B150" s="125">
        <v>7428226</v>
      </c>
      <c r="C150" s="125">
        <v>6522004</v>
      </c>
      <c r="D150" s="125">
        <v>6900506</v>
      </c>
      <c r="E150" s="125">
        <v>7125408</v>
      </c>
      <c r="F150" s="125">
        <v>8981740</v>
      </c>
      <c r="G150" s="125">
        <v>9684755</v>
      </c>
    </row>
    <row r="151" spans="1:7" x14ac:dyDescent="0.45">
      <c r="A151" s="9" t="s">
        <v>448</v>
      </c>
      <c r="B151" s="125">
        <v>6897071</v>
      </c>
      <c r="C151" s="125">
        <v>7557560</v>
      </c>
      <c r="D151" s="125">
        <v>8480094</v>
      </c>
      <c r="E151" s="125">
        <v>9102502</v>
      </c>
      <c r="F151" s="125">
        <v>10538098</v>
      </c>
      <c r="G151" s="125">
        <v>15703644</v>
      </c>
    </row>
    <row r="152" spans="1:7" x14ac:dyDescent="0.45">
      <c r="A152" s="9" t="s">
        <v>449</v>
      </c>
      <c r="B152" s="125">
        <v>17995431</v>
      </c>
      <c r="C152" s="125">
        <v>18057061</v>
      </c>
      <c r="D152" s="125">
        <v>19437781</v>
      </c>
      <c r="E152" s="125">
        <v>20693342</v>
      </c>
      <c r="F152" s="125">
        <v>21394952</v>
      </c>
      <c r="G152" s="125">
        <v>23890374</v>
      </c>
    </row>
    <row r="153" spans="1:7" x14ac:dyDescent="0.45">
      <c r="A153" s="9" t="s">
        <v>450</v>
      </c>
      <c r="B153" s="125">
        <v>3421763</v>
      </c>
      <c r="C153" s="125">
        <v>3525822</v>
      </c>
      <c r="D153" s="125">
        <v>3555698</v>
      </c>
      <c r="E153" s="125">
        <v>3565280</v>
      </c>
      <c r="F153" s="125">
        <v>2801772</v>
      </c>
      <c r="G153" s="125">
        <v>3279463</v>
      </c>
    </row>
    <row r="154" spans="1:7" x14ac:dyDescent="0.45">
      <c r="A154" s="9" t="s">
        <v>451</v>
      </c>
      <c r="B154" s="125">
        <v>13251928</v>
      </c>
      <c r="C154" s="125">
        <v>13106765</v>
      </c>
      <c r="D154" s="125">
        <v>14203071</v>
      </c>
      <c r="E154" s="125">
        <v>15256704</v>
      </c>
      <c r="F154" s="125">
        <v>16543526</v>
      </c>
      <c r="G154" s="125">
        <v>17810761</v>
      </c>
    </row>
    <row r="155" spans="1:7" x14ac:dyDescent="0.45">
      <c r="A155" s="9" t="s">
        <v>452</v>
      </c>
      <c r="B155" s="125">
        <v>1321740</v>
      </c>
      <c r="C155" s="125">
        <v>1424474</v>
      </c>
      <c r="D155" s="125">
        <v>1679012</v>
      </c>
      <c r="E155" s="125">
        <v>1871358</v>
      </c>
      <c r="F155" s="125">
        <v>2049654</v>
      </c>
      <c r="G155" s="125">
        <v>2800150</v>
      </c>
    </row>
    <row r="156" spans="1:7" x14ac:dyDescent="0.45">
      <c r="A156" s="9" t="s">
        <v>453</v>
      </c>
      <c r="B156" s="125">
        <v>11571429</v>
      </c>
      <c r="C156" s="125">
        <v>10084402</v>
      </c>
      <c r="D156" s="125">
        <v>10479616</v>
      </c>
      <c r="E156" s="125">
        <v>11509664</v>
      </c>
      <c r="F156" s="125">
        <v>10437439</v>
      </c>
      <c r="G156" s="125">
        <v>12204546</v>
      </c>
    </row>
    <row r="157" spans="1:7" x14ac:dyDescent="0.45">
      <c r="A157" s="9" t="s">
        <v>454</v>
      </c>
      <c r="B157" s="125">
        <v>9563286</v>
      </c>
      <c r="C157" s="125">
        <v>8033304</v>
      </c>
      <c r="D157" s="125">
        <v>8428979</v>
      </c>
      <c r="E157" s="125">
        <v>9343969</v>
      </c>
      <c r="F157" s="125">
        <v>8487914</v>
      </c>
      <c r="G157" s="125">
        <v>10645072</v>
      </c>
    </row>
    <row r="158" spans="1:7" x14ac:dyDescent="0.45">
      <c r="A158" s="9" t="s">
        <v>455</v>
      </c>
      <c r="B158" s="125">
        <v>2696365</v>
      </c>
      <c r="C158" s="125">
        <v>2316200</v>
      </c>
      <c r="D158" s="125">
        <v>2554422</v>
      </c>
      <c r="E158" s="125">
        <v>2681058</v>
      </c>
      <c r="F158" s="125">
        <v>2102873</v>
      </c>
      <c r="G158" s="125">
        <v>2531194</v>
      </c>
    </row>
    <row r="159" spans="1:7" x14ac:dyDescent="0.45">
      <c r="A159" s="9" t="s">
        <v>456</v>
      </c>
      <c r="B159" s="125">
        <v>3424264</v>
      </c>
      <c r="C159" s="125">
        <v>1921511</v>
      </c>
      <c r="D159" s="125">
        <v>2088510</v>
      </c>
      <c r="E159" s="125">
        <v>2562986</v>
      </c>
      <c r="F159" s="125">
        <v>2514905</v>
      </c>
      <c r="G159" s="125">
        <v>3833460</v>
      </c>
    </row>
    <row r="160" spans="1:7" x14ac:dyDescent="0.45">
      <c r="A160" s="9" t="s">
        <v>457</v>
      </c>
      <c r="B160" s="125">
        <v>3442657</v>
      </c>
      <c r="C160" s="125">
        <v>3795593</v>
      </c>
      <c r="D160" s="125">
        <v>3786047</v>
      </c>
      <c r="E160" s="125">
        <v>4099925</v>
      </c>
      <c r="F160" s="125">
        <v>3870136</v>
      </c>
      <c r="G160" s="125">
        <v>4280418</v>
      </c>
    </row>
    <row r="161" spans="1:7" x14ac:dyDescent="0.45">
      <c r="A161" s="9" t="s">
        <v>458</v>
      </c>
      <c r="B161" s="125">
        <v>1411452</v>
      </c>
      <c r="C161" s="125">
        <v>1427518</v>
      </c>
      <c r="D161" s="125">
        <v>1494825</v>
      </c>
      <c r="E161" s="125">
        <v>1708056</v>
      </c>
      <c r="F161" s="125">
        <v>1504867</v>
      </c>
      <c r="G161" s="125">
        <v>1203614</v>
      </c>
    </row>
    <row r="162" spans="1:7" x14ac:dyDescent="0.45">
      <c r="A162" s="9" t="s">
        <v>459</v>
      </c>
      <c r="B162" s="125">
        <v>1121691</v>
      </c>
      <c r="C162" s="125">
        <v>1115981</v>
      </c>
      <c r="D162" s="125">
        <v>1222357</v>
      </c>
      <c r="E162" s="125">
        <v>1395584</v>
      </c>
      <c r="F162" s="125">
        <v>1213940</v>
      </c>
      <c r="G162" s="125">
        <v>701713</v>
      </c>
    </row>
    <row r="163" spans="1:7" x14ac:dyDescent="0.45">
      <c r="A163" s="9" t="s">
        <v>460</v>
      </c>
      <c r="B163" s="125">
        <v>289761</v>
      </c>
      <c r="C163" s="125">
        <v>311537</v>
      </c>
      <c r="D163" s="125">
        <v>272468</v>
      </c>
      <c r="E163" s="125">
        <v>312472</v>
      </c>
      <c r="F163" s="125">
        <v>290927</v>
      </c>
      <c r="G163" s="125">
        <v>501901</v>
      </c>
    </row>
    <row r="164" spans="1:7" x14ac:dyDescent="0.45">
      <c r="A164" s="9" t="s">
        <v>461</v>
      </c>
      <c r="B164" s="125">
        <v>596691</v>
      </c>
      <c r="C164" s="125">
        <v>623580</v>
      </c>
      <c r="D164" s="125">
        <v>555812</v>
      </c>
      <c r="E164" s="125">
        <v>457639</v>
      </c>
      <c r="F164" s="125">
        <v>444658</v>
      </c>
      <c r="G164" s="125">
        <v>355860</v>
      </c>
    </row>
    <row r="165" spans="1:7" x14ac:dyDescent="0.45">
      <c r="A165" s="9" t="s">
        <v>462</v>
      </c>
      <c r="B165" s="125">
        <v>596691</v>
      </c>
      <c r="C165" s="125">
        <v>623580</v>
      </c>
      <c r="D165" s="125">
        <v>555812</v>
      </c>
      <c r="E165" s="125">
        <v>457639</v>
      </c>
      <c r="F165" s="125">
        <v>444658</v>
      </c>
      <c r="G165" s="125">
        <v>355860</v>
      </c>
    </row>
    <row r="166" spans="1:7" x14ac:dyDescent="0.45">
      <c r="A166" s="9" t="s">
        <v>463</v>
      </c>
      <c r="B166" s="125">
        <v>250414988</v>
      </c>
      <c r="C166" s="125">
        <v>257912264</v>
      </c>
      <c r="D166" s="125">
        <v>325849207</v>
      </c>
      <c r="E166" s="125">
        <v>390637252</v>
      </c>
      <c r="F166" s="125">
        <v>356335560</v>
      </c>
      <c r="G166" s="125">
        <v>594800261</v>
      </c>
    </row>
    <row r="167" spans="1:7" x14ac:dyDescent="0.45">
      <c r="A167" s="9" t="s">
        <v>464</v>
      </c>
      <c r="B167" s="125">
        <v>235741</v>
      </c>
      <c r="C167" s="125" t="s">
        <v>34</v>
      </c>
      <c r="D167" s="125">
        <v>140965</v>
      </c>
      <c r="E167" s="125">
        <v>183222</v>
      </c>
      <c r="F167" s="125">
        <v>172892</v>
      </c>
      <c r="G167" s="125" t="s">
        <v>34</v>
      </c>
    </row>
    <row r="168" spans="1:7" x14ac:dyDescent="0.45">
      <c r="A168" s="9" t="s">
        <v>465</v>
      </c>
      <c r="B168" s="125">
        <v>235741</v>
      </c>
      <c r="C168" s="125" t="s">
        <v>34</v>
      </c>
      <c r="D168" s="125">
        <v>140965</v>
      </c>
      <c r="E168" s="125">
        <v>183222</v>
      </c>
      <c r="F168" s="125">
        <v>172892</v>
      </c>
      <c r="G168" s="125" t="s">
        <v>34</v>
      </c>
    </row>
    <row r="169" spans="1:7" x14ac:dyDescent="0.45">
      <c r="A169" s="9" t="s">
        <v>466</v>
      </c>
      <c r="B169" s="125">
        <v>212515695</v>
      </c>
      <c r="C169" s="125" t="s">
        <v>34</v>
      </c>
      <c r="D169" s="125">
        <v>265558232</v>
      </c>
      <c r="E169" s="125">
        <v>306686103</v>
      </c>
      <c r="F169" s="125">
        <v>287486638</v>
      </c>
      <c r="G169" s="125" t="s">
        <v>34</v>
      </c>
    </row>
    <row r="170" spans="1:7" x14ac:dyDescent="0.45">
      <c r="A170" s="9" t="s">
        <v>467</v>
      </c>
      <c r="B170" s="125">
        <v>206118210</v>
      </c>
      <c r="C170" s="125" t="s">
        <v>34</v>
      </c>
      <c r="D170" s="125">
        <v>256831422</v>
      </c>
      <c r="E170" s="125">
        <v>296934207</v>
      </c>
      <c r="F170" s="125">
        <v>275748315</v>
      </c>
      <c r="G170" s="125" t="s">
        <v>34</v>
      </c>
    </row>
    <row r="171" spans="1:7" x14ac:dyDescent="0.45">
      <c r="A171" s="9" t="s">
        <v>468</v>
      </c>
      <c r="B171" s="125">
        <v>6397485</v>
      </c>
      <c r="C171" s="125">
        <v>7064772</v>
      </c>
      <c r="D171" s="125">
        <v>8726810</v>
      </c>
      <c r="E171" s="125">
        <v>9751896</v>
      </c>
      <c r="F171" s="125">
        <v>11738323</v>
      </c>
      <c r="G171" s="125">
        <v>22198393</v>
      </c>
    </row>
    <row r="172" spans="1:7" x14ac:dyDescent="0.45">
      <c r="A172" s="9" t="s">
        <v>469</v>
      </c>
      <c r="B172" s="125">
        <v>37663552</v>
      </c>
      <c r="C172" s="125">
        <v>38445996</v>
      </c>
      <c r="D172" s="125">
        <v>60150010</v>
      </c>
      <c r="E172" s="125">
        <v>83767927</v>
      </c>
      <c r="F172" s="125">
        <v>68676030</v>
      </c>
      <c r="G172" s="125">
        <v>122834271</v>
      </c>
    </row>
    <row r="173" spans="1:7" x14ac:dyDescent="0.45">
      <c r="A173" s="9" t="s">
        <v>470</v>
      </c>
      <c r="B173" s="125">
        <v>35161968</v>
      </c>
      <c r="C173" s="125">
        <v>35749337</v>
      </c>
      <c r="D173" s="125">
        <v>53319631</v>
      </c>
      <c r="E173" s="125">
        <v>76452751</v>
      </c>
      <c r="F173" s="125">
        <v>54379334</v>
      </c>
      <c r="G173" s="125">
        <v>92681176</v>
      </c>
    </row>
    <row r="174" spans="1:7" x14ac:dyDescent="0.45">
      <c r="A174" s="9" t="s">
        <v>471</v>
      </c>
      <c r="B174" s="125">
        <v>2501584</v>
      </c>
      <c r="C174" s="125">
        <v>2696659</v>
      </c>
      <c r="D174" s="125">
        <v>6830379</v>
      </c>
      <c r="E174" s="125">
        <v>7315176</v>
      </c>
      <c r="F174" s="125">
        <v>14296696</v>
      </c>
      <c r="G174" s="125">
        <v>30153095</v>
      </c>
    </row>
    <row r="175" spans="1:7" x14ac:dyDescent="0.45">
      <c r="A175" s="9" t="s">
        <v>191</v>
      </c>
      <c r="B175" s="125">
        <v>255952489</v>
      </c>
      <c r="C175" s="125">
        <v>263171207</v>
      </c>
      <c r="D175" s="125">
        <v>307436045</v>
      </c>
      <c r="E175" s="125">
        <v>329074430</v>
      </c>
      <c r="F175" s="125">
        <v>380625283</v>
      </c>
      <c r="G175" s="125">
        <v>545316781</v>
      </c>
    </row>
    <row r="176" spans="1:7" x14ac:dyDescent="0.45">
      <c r="A176" s="9" t="s">
        <v>472</v>
      </c>
      <c r="B176" s="125">
        <v>67449009</v>
      </c>
      <c r="C176" s="125">
        <v>65856114</v>
      </c>
      <c r="D176" s="125">
        <v>81744011</v>
      </c>
      <c r="E176" s="125">
        <v>90116807</v>
      </c>
      <c r="F176" s="125">
        <v>107439953</v>
      </c>
      <c r="G176" s="125">
        <v>174918370</v>
      </c>
    </row>
    <row r="177" spans="1:7" x14ac:dyDescent="0.45">
      <c r="A177" s="9" t="s">
        <v>473</v>
      </c>
      <c r="B177" s="125">
        <v>1466920</v>
      </c>
      <c r="C177" s="125">
        <v>1568790</v>
      </c>
      <c r="D177" s="125">
        <v>1790722</v>
      </c>
      <c r="E177" s="125">
        <v>1758223</v>
      </c>
      <c r="F177" s="125">
        <v>2302763</v>
      </c>
      <c r="G177" s="125">
        <v>3305850</v>
      </c>
    </row>
    <row r="178" spans="1:7" x14ac:dyDescent="0.45">
      <c r="A178" s="9" t="s">
        <v>192</v>
      </c>
      <c r="B178" s="125">
        <v>8882339</v>
      </c>
      <c r="C178" s="125">
        <v>7775850</v>
      </c>
      <c r="D178" s="125">
        <v>11498280</v>
      </c>
      <c r="E178" s="125">
        <v>11558770</v>
      </c>
      <c r="F178" s="125">
        <v>14889991</v>
      </c>
      <c r="G178" s="125">
        <v>26019898</v>
      </c>
    </row>
    <row r="179" spans="1:7" x14ac:dyDescent="0.45">
      <c r="A179" s="9" t="s">
        <v>193</v>
      </c>
      <c r="B179" s="125">
        <v>44569650</v>
      </c>
      <c r="C179" s="125">
        <v>43204061</v>
      </c>
      <c r="D179" s="125">
        <v>53409203</v>
      </c>
      <c r="E179" s="125">
        <v>59811686</v>
      </c>
      <c r="F179" s="125">
        <v>71429126</v>
      </c>
      <c r="G179" s="125">
        <v>119682420</v>
      </c>
    </row>
    <row r="180" spans="1:7" x14ac:dyDescent="0.45">
      <c r="A180" s="9" t="s">
        <v>474</v>
      </c>
      <c r="B180" s="125">
        <v>6070902</v>
      </c>
      <c r="C180" s="125">
        <v>5766640</v>
      </c>
      <c r="D180" s="125">
        <v>5891058</v>
      </c>
      <c r="E180" s="125">
        <v>6412998</v>
      </c>
      <c r="F180" s="125">
        <v>6728947</v>
      </c>
      <c r="G180" s="125">
        <v>8425501</v>
      </c>
    </row>
    <row r="181" spans="1:7" x14ac:dyDescent="0.45">
      <c r="A181" s="9" t="s">
        <v>475</v>
      </c>
      <c r="B181" s="125">
        <v>6459198</v>
      </c>
      <c r="C181" s="125">
        <v>7540773</v>
      </c>
      <c r="D181" s="125">
        <v>9154748</v>
      </c>
      <c r="E181" s="125">
        <v>10575130</v>
      </c>
      <c r="F181" s="125">
        <v>12089126</v>
      </c>
      <c r="G181" s="125">
        <v>17484701</v>
      </c>
    </row>
    <row r="182" spans="1:7" x14ac:dyDescent="0.45">
      <c r="A182" s="9" t="s">
        <v>476</v>
      </c>
      <c r="B182" s="125">
        <v>54999508</v>
      </c>
      <c r="C182" s="125">
        <v>60344092</v>
      </c>
      <c r="D182" s="125">
        <v>29345482</v>
      </c>
      <c r="E182" s="125">
        <v>29912875</v>
      </c>
      <c r="F182" s="125">
        <v>33521839</v>
      </c>
      <c r="G182" s="125">
        <v>52719589</v>
      </c>
    </row>
    <row r="183" spans="1:7" x14ac:dyDescent="0.45">
      <c r="A183" s="9" t="s">
        <v>477</v>
      </c>
      <c r="B183" s="125">
        <v>34142827</v>
      </c>
      <c r="C183" s="125">
        <v>37505874</v>
      </c>
      <c r="D183" s="125" t="s">
        <v>34</v>
      </c>
      <c r="E183" s="125" t="s">
        <v>34</v>
      </c>
      <c r="F183" s="125" t="s">
        <v>34</v>
      </c>
      <c r="G183" s="125" t="s">
        <v>34</v>
      </c>
    </row>
    <row r="184" spans="1:7" x14ac:dyDescent="0.45">
      <c r="A184" s="9" t="s">
        <v>478</v>
      </c>
      <c r="B184" s="125">
        <v>4089861</v>
      </c>
      <c r="C184" s="125">
        <v>6946688</v>
      </c>
      <c r="D184" s="125" t="s">
        <v>34</v>
      </c>
      <c r="E184" s="125" t="s">
        <v>34</v>
      </c>
      <c r="F184" s="125" t="s">
        <v>34</v>
      </c>
      <c r="G184" s="125" t="s">
        <v>34</v>
      </c>
    </row>
    <row r="185" spans="1:7" x14ac:dyDescent="0.45">
      <c r="A185" s="9" t="s">
        <v>479</v>
      </c>
      <c r="B185" s="125">
        <v>16766820</v>
      </c>
      <c r="C185" s="125">
        <v>15891530</v>
      </c>
      <c r="D185" s="125">
        <v>16751965</v>
      </c>
      <c r="E185" s="125">
        <v>18393456</v>
      </c>
      <c r="F185" s="125">
        <v>26986350</v>
      </c>
      <c r="G185" s="125">
        <v>38017071</v>
      </c>
    </row>
    <row r="186" spans="1:7" x14ac:dyDescent="0.45">
      <c r="A186" s="9" t="s">
        <v>480</v>
      </c>
      <c r="B186" s="125">
        <v>19622791</v>
      </c>
      <c r="C186" s="125">
        <v>22656469</v>
      </c>
      <c r="D186" s="125">
        <v>64568766</v>
      </c>
      <c r="E186" s="125">
        <v>61474145</v>
      </c>
      <c r="F186" s="125">
        <v>66620030</v>
      </c>
      <c r="G186" s="125">
        <v>109035789</v>
      </c>
    </row>
    <row r="187" spans="1:7" x14ac:dyDescent="0.45">
      <c r="A187" s="9" t="s">
        <v>481</v>
      </c>
      <c r="B187" s="125">
        <v>13448241</v>
      </c>
      <c r="C187" s="125">
        <v>16628423</v>
      </c>
      <c r="D187" s="125">
        <v>55377737</v>
      </c>
      <c r="E187" s="125">
        <v>52926261</v>
      </c>
      <c r="F187" s="125">
        <v>56976977</v>
      </c>
      <c r="G187" s="125">
        <v>94525998</v>
      </c>
    </row>
    <row r="188" spans="1:7" x14ac:dyDescent="0.45">
      <c r="A188" s="9" t="s">
        <v>482</v>
      </c>
      <c r="B188" s="125">
        <v>3872374</v>
      </c>
      <c r="C188" s="125">
        <v>3841700</v>
      </c>
      <c r="D188" s="125">
        <v>6628600</v>
      </c>
      <c r="E188" s="125">
        <v>6657830</v>
      </c>
      <c r="F188" s="125">
        <v>7696457</v>
      </c>
      <c r="G188" s="125">
        <v>10745338</v>
      </c>
    </row>
    <row r="189" spans="1:7" x14ac:dyDescent="0.45">
      <c r="A189" s="9" t="s">
        <v>483</v>
      </c>
      <c r="B189" s="125">
        <v>2302176</v>
      </c>
      <c r="C189" s="125">
        <v>2186346</v>
      </c>
      <c r="D189" s="125">
        <v>2562429</v>
      </c>
      <c r="E189" s="125">
        <v>1890054</v>
      </c>
      <c r="F189" s="125">
        <v>1946596</v>
      </c>
      <c r="G189" s="125">
        <v>3764453</v>
      </c>
    </row>
    <row r="190" spans="1:7" x14ac:dyDescent="0.45">
      <c r="A190" s="9" t="s">
        <v>484</v>
      </c>
      <c r="B190" s="125">
        <v>2996948</v>
      </c>
      <c r="C190" s="125">
        <v>2694076</v>
      </c>
      <c r="D190" s="125">
        <v>3179234</v>
      </c>
      <c r="E190" s="125">
        <v>3395446</v>
      </c>
      <c r="F190" s="125">
        <v>3831041</v>
      </c>
      <c r="G190" s="125">
        <v>6840806</v>
      </c>
    </row>
    <row r="191" spans="1:7" x14ac:dyDescent="0.45">
      <c r="A191" s="9" t="s">
        <v>485</v>
      </c>
      <c r="B191" s="125">
        <v>2996948</v>
      </c>
      <c r="C191" s="125">
        <v>2694076</v>
      </c>
      <c r="D191" s="125">
        <v>3179234</v>
      </c>
      <c r="E191" s="125">
        <v>3395446</v>
      </c>
      <c r="F191" s="125">
        <v>3831041</v>
      </c>
      <c r="G191" s="125">
        <v>6840806</v>
      </c>
    </row>
    <row r="192" spans="1:7" x14ac:dyDescent="0.45">
      <c r="A192" s="9" t="s">
        <v>486</v>
      </c>
      <c r="B192" s="125">
        <v>36879406</v>
      </c>
      <c r="C192" s="125">
        <v>36753871</v>
      </c>
      <c r="D192" s="125">
        <v>47799799</v>
      </c>
      <c r="E192" s="125">
        <v>56377759</v>
      </c>
      <c r="F192" s="125">
        <v>67097558</v>
      </c>
      <c r="G192" s="125">
        <v>80116173</v>
      </c>
    </row>
    <row r="193" spans="1:7" x14ac:dyDescent="0.45">
      <c r="A193" s="9" t="s">
        <v>487</v>
      </c>
      <c r="B193" s="125">
        <v>36150187</v>
      </c>
      <c r="C193" s="125">
        <v>36056142</v>
      </c>
      <c r="D193" s="125">
        <v>47097573</v>
      </c>
      <c r="E193" s="125">
        <v>55860939</v>
      </c>
      <c r="F193" s="125">
        <v>53611269</v>
      </c>
      <c r="G193" s="125">
        <v>60122785</v>
      </c>
    </row>
    <row r="194" spans="1:7" x14ac:dyDescent="0.45">
      <c r="A194" s="9" t="s">
        <v>488</v>
      </c>
      <c r="B194" s="125">
        <v>729219</v>
      </c>
      <c r="C194" s="125">
        <v>697729</v>
      </c>
      <c r="D194" s="125">
        <v>702226</v>
      </c>
      <c r="E194" s="125">
        <v>516820</v>
      </c>
      <c r="F194" s="125">
        <v>13486289</v>
      </c>
      <c r="G194" s="125">
        <v>19993388</v>
      </c>
    </row>
    <row r="195" spans="1:7" x14ac:dyDescent="0.45">
      <c r="A195" s="9" t="s">
        <v>489</v>
      </c>
      <c r="B195" s="125">
        <v>39697913</v>
      </c>
      <c r="C195" s="125">
        <v>41738582</v>
      </c>
      <c r="D195" s="125">
        <v>44557449</v>
      </c>
      <c r="E195" s="125">
        <v>48366131</v>
      </c>
      <c r="F195" s="125">
        <v>54989007</v>
      </c>
      <c r="G195" s="125">
        <v>60688431</v>
      </c>
    </row>
    <row r="196" spans="1:7" x14ac:dyDescent="0.45">
      <c r="A196" s="9" t="s">
        <v>490</v>
      </c>
      <c r="B196" s="125">
        <v>12922010</v>
      </c>
      <c r="C196" s="125">
        <v>12955529</v>
      </c>
      <c r="D196" s="125">
        <v>14629726</v>
      </c>
      <c r="E196" s="125">
        <v>14403015</v>
      </c>
      <c r="F196" s="125">
        <v>15474450</v>
      </c>
      <c r="G196" s="125">
        <v>17852237</v>
      </c>
    </row>
    <row r="197" spans="1:7" x14ac:dyDescent="0.45">
      <c r="A197" s="9" t="s">
        <v>491</v>
      </c>
      <c r="B197" s="125">
        <v>3248657</v>
      </c>
      <c r="C197" s="125">
        <v>3613797</v>
      </c>
      <c r="D197" s="125">
        <v>4293757</v>
      </c>
      <c r="E197" s="125">
        <v>5085342</v>
      </c>
      <c r="F197" s="125">
        <v>7779842</v>
      </c>
      <c r="G197" s="125">
        <v>6475378</v>
      </c>
    </row>
    <row r="198" spans="1:7" x14ac:dyDescent="0.45">
      <c r="A198" s="9" t="s">
        <v>492</v>
      </c>
      <c r="B198" s="125">
        <v>23527246</v>
      </c>
      <c r="C198" s="125">
        <v>25169256</v>
      </c>
      <c r="D198" s="125">
        <v>25633966</v>
      </c>
      <c r="E198" s="125">
        <v>28877774</v>
      </c>
      <c r="F198" s="125">
        <v>31734715</v>
      </c>
      <c r="G198" s="125">
        <v>36360816</v>
      </c>
    </row>
    <row r="199" spans="1:7" x14ac:dyDescent="0.45">
      <c r="A199" s="9" t="s">
        <v>493</v>
      </c>
      <c r="B199" s="125">
        <v>14385895</v>
      </c>
      <c r="C199" s="125">
        <v>13997155</v>
      </c>
      <c r="D199" s="125">
        <v>14760072</v>
      </c>
      <c r="E199" s="125">
        <v>16803010</v>
      </c>
      <c r="F199" s="125">
        <v>19619298</v>
      </c>
      <c r="G199" s="125">
        <v>26172397</v>
      </c>
    </row>
    <row r="200" spans="1:7" x14ac:dyDescent="0.45">
      <c r="A200" s="9" t="s">
        <v>494</v>
      </c>
      <c r="B200" s="125">
        <v>10785509</v>
      </c>
      <c r="C200" s="125">
        <v>11104141</v>
      </c>
      <c r="D200" s="125">
        <v>11966594</v>
      </c>
      <c r="E200" s="125">
        <v>13060992</v>
      </c>
      <c r="F200" s="125">
        <v>15099176</v>
      </c>
      <c r="G200" s="125">
        <v>20441842</v>
      </c>
    </row>
    <row r="201" spans="1:7" x14ac:dyDescent="0.45">
      <c r="A201" s="9" t="s">
        <v>495</v>
      </c>
      <c r="B201" s="125">
        <v>2340334</v>
      </c>
      <c r="C201" s="125">
        <v>1341312</v>
      </c>
      <c r="D201" s="125">
        <v>1257942</v>
      </c>
      <c r="E201" s="125">
        <v>1347941</v>
      </c>
      <c r="F201" s="125">
        <v>1690959</v>
      </c>
      <c r="G201" s="125">
        <v>1929368</v>
      </c>
    </row>
    <row r="202" spans="1:7" x14ac:dyDescent="0.45">
      <c r="A202" s="9" t="s">
        <v>496</v>
      </c>
      <c r="B202" s="125">
        <v>1260052</v>
      </c>
      <c r="C202" s="125">
        <v>1551702</v>
      </c>
      <c r="D202" s="125">
        <v>1535536</v>
      </c>
      <c r="E202" s="125">
        <v>2394077</v>
      </c>
      <c r="F202" s="125">
        <v>2829163</v>
      </c>
      <c r="G202" s="125">
        <v>3801187</v>
      </c>
    </row>
    <row r="203" spans="1:7" x14ac:dyDescent="0.45">
      <c r="A203" s="9" t="s">
        <v>497</v>
      </c>
      <c r="B203" s="125">
        <v>19921019</v>
      </c>
      <c r="C203" s="125">
        <v>19130848</v>
      </c>
      <c r="D203" s="125">
        <v>21481232</v>
      </c>
      <c r="E203" s="125">
        <v>22628257</v>
      </c>
      <c r="F203" s="125">
        <v>27506557</v>
      </c>
      <c r="G203" s="125">
        <v>34825226</v>
      </c>
    </row>
    <row r="204" spans="1:7" x14ac:dyDescent="0.45">
      <c r="A204" s="9" t="s">
        <v>498</v>
      </c>
      <c r="B204" s="125" t="s">
        <v>34</v>
      </c>
      <c r="C204" s="125">
        <v>2478738</v>
      </c>
      <c r="D204" s="125">
        <v>3253680</v>
      </c>
      <c r="E204" s="125">
        <v>3193037</v>
      </c>
      <c r="F204" s="125">
        <v>3562264</v>
      </c>
      <c r="G204" s="125">
        <v>4064446</v>
      </c>
    </row>
    <row r="205" spans="1:7" x14ac:dyDescent="0.45">
      <c r="A205" s="9" t="s">
        <v>499</v>
      </c>
      <c r="B205" s="125">
        <v>1256192</v>
      </c>
      <c r="C205" s="125">
        <v>1408443</v>
      </c>
      <c r="D205" s="125">
        <v>1409631</v>
      </c>
      <c r="E205" s="125">
        <v>1066401</v>
      </c>
      <c r="F205" s="125">
        <v>1176857</v>
      </c>
      <c r="G205" s="125">
        <v>1664805</v>
      </c>
    </row>
    <row r="206" spans="1:7" x14ac:dyDescent="0.45">
      <c r="A206" s="9" t="s">
        <v>500</v>
      </c>
      <c r="B206" s="125">
        <v>10271389</v>
      </c>
      <c r="C206" s="125">
        <v>9283658</v>
      </c>
      <c r="D206" s="125">
        <v>10320684</v>
      </c>
      <c r="E206" s="125">
        <v>11058265</v>
      </c>
      <c r="F206" s="125">
        <v>14107405</v>
      </c>
      <c r="G206" s="125">
        <v>17343220</v>
      </c>
    </row>
    <row r="207" spans="1:7" x14ac:dyDescent="0.45">
      <c r="A207" s="9" t="s">
        <v>501</v>
      </c>
      <c r="B207" s="125" t="s">
        <v>34</v>
      </c>
      <c r="C207" s="125">
        <v>805083</v>
      </c>
      <c r="D207" s="125">
        <v>911367</v>
      </c>
      <c r="E207" s="125">
        <v>845984</v>
      </c>
      <c r="F207" s="125">
        <v>1078469</v>
      </c>
      <c r="G207" s="125">
        <v>1323948</v>
      </c>
    </row>
    <row r="208" spans="1:7" x14ac:dyDescent="0.45">
      <c r="A208" s="9" t="s">
        <v>502</v>
      </c>
      <c r="B208" s="125">
        <v>5406058</v>
      </c>
      <c r="C208" s="125">
        <v>5154926</v>
      </c>
      <c r="D208" s="125">
        <v>5585870</v>
      </c>
      <c r="E208" s="125">
        <v>6464570</v>
      </c>
      <c r="F208" s="125">
        <v>7581562</v>
      </c>
      <c r="G208" s="125">
        <v>10428807</v>
      </c>
    </row>
    <row r="209" spans="1:7" x14ac:dyDescent="0.45">
      <c r="A209" s="9" t="s">
        <v>234</v>
      </c>
      <c r="B209" s="125">
        <v>51081794</v>
      </c>
      <c r="C209" s="125">
        <v>53475100</v>
      </c>
      <c r="D209" s="125">
        <v>61794042</v>
      </c>
      <c r="E209" s="125">
        <v>61740005</v>
      </c>
      <c r="F209" s="125">
        <v>70362824</v>
      </c>
      <c r="G209" s="125">
        <v>81540200</v>
      </c>
    </row>
    <row r="210" spans="1:7" x14ac:dyDescent="0.45">
      <c r="A210" s="9" t="s">
        <v>235</v>
      </c>
      <c r="B210" s="125">
        <v>505650</v>
      </c>
      <c r="C210" s="125">
        <v>574840</v>
      </c>
      <c r="D210" s="125">
        <v>1516627</v>
      </c>
      <c r="E210" s="125">
        <v>1724238</v>
      </c>
      <c r="F210" s="125">
        <v>2391890</v>
      </c>
      <c r="G210" s="125">
        <v>3024230</v>
      </c>
    </row>
    <row r="211" spans="1:7" x14ac:dyDescent="0.45">
      <c r="A211" s="9" t="s">
        <v>236</v>
      </c>
      <c r="B211" s="125">
        <v>505650</v>
      </c>
      <c r="C211" s="125">
        <v>574840</v>
      </c>
      <c r="D211" s="125">
        <v>1516627</v>
      </c>
      <c r="E211" s="125">
        <v>1724238</v>
      </c>
      <c r="F211" s="125">
        <v>2391890</v>
      </c>
      <c r="G211" s="125">
        <v>3024230</v>
      </c>
    </row>
    <row r="212" spans="1:7" x14ac:dyDescent="0.45">
      <c r="A212" s="9" t="s">
        <v>237</v>
      </c>
      <c r="B212" s="125">
        <v>50576144</v>
      </c>
      <c r="C212" s="125">
        <v>52900260</v>
      </c>
      <c r="D212" s="125">
        <v>60277415</v>
      </c>
      <c r="E212" s="125">
        <v>60015767</v>
      </c>
      <c r="F212" s="125">
        <v>67970934</v>
      </c>
      <c r="G212" s="125">
        <v>78515970</v>
      </c>
    </row>
    <row r="213" spans="1:7" x14ac:dyDescent="0.45">
      <c r="A213" s="9" t="s">
        <v>238</v>
      </c>
      <c r="B213" s="125">
        <v>45757364</v>
      </c>
      <c r="C213" s="125">
        <v>48138361</v>
      </c>
      <c r="D213" s="125">
        <v>54286304</v>
      </c>
      <c r="E213" s="125">
        <v>53906291</v>
      </c>
      <c r="F213" s="125">
        <v>61808862</v>
      </c>
      <c r="G213" s="125">
        <v>70677105</v>
      </c>
    </row>
    <row r="214" spans="1:7" x14ac:dyDescent="0.45">
      <c r="A214" s="9" t="s">
        <v>239</v>
      </c>
      <c r="B214" s="125">
        <v>4497054</v>
      </c>
      <c r="C214" s="125">
        <v>4428220</v>
      </c>
      <c r="D214" s="125">
        <v>5594197</v>
      </c>
      <c r="E214" s="125">
        <v>5621885</v>
      </c>
      <c r="F214" s="125">
        <v>5605864</v>
      </c>
      <c r="G214" s="125">
        <v>7236442</v>
      </c>
    </row>
    <row r="215" spans="1:7" x14ac:dyDescent="0.45">
      <c r="A215" s="9" t="s">
        <v>240</v>
      </c>
      <c r="B215" s="125">
        <v>321726</v>
      </c>
      <c r="C215" s="125">
        <v>333679</v>
      </c>
      <c r="D215" s="125">
        <v>396914</v>
      </c>
      <c r="E215" s="125">
        <v>487591</v>
      </c>
      <c r="F215" s="125">
        <v>556208</v>
      </c>
      <c r="G215" s="125">
        <v>602423</v>
      </c>
    </row>
    <row r="216" spans="1:7" x14ac:dyDescent="0.45">
      <c r="A216" s="9" t="s">
        <v>503</v>
      </c>
      <c r="B216" s="125">
        <v>88828878</v>
      </c>
      <c r="C216" s="125">
        <v>91861684</v>
      </c>
      <c r="D216" s="125">
        <v>99017507</v>
      </c>
      <c r="E216" s="125">
        <v>104358892</v>
      </c>
      <c r="F216" s="125">
        <v>120134395</v>
      </c>
      <c r="G216" s="125">
        <v>172378510</v>
      </c>
    </row>
    <row r="217" spans="1:7" x14ac:dyDescent="0.45">
      <c r="A217" s="9" t="s">
        <v>504</v>
      </c>
      <c r="B217" s="125">
        <v>24636492</v>
      </c>
      <c r="C217" s="125">
        <v>26492582</v>
      </c>
      <c r="D217" s="125">
        <v>28853941</v>
      </c>
      <c r="E217" s="125">
        <v>29573883</v>
      </c>
      <c r="F217" s="125">
        <v>29767162</v>
      </c>
      <c r="G217" s="125">
        <v>44332594</v>
      </c>
    </row>
    <row r="218" spans="1:7" x14ac:dyDescent="0.45">
      <c r="A218" s="9" t="s">
        <v>505</v>
      </c>
      <c r="B218" s="125">
        <v>18249132</v>
      </c>
      <c r="C218" s="125">
        <v>19496826</v>
      </c>
      <c r="D218" s="125">
        <v>21053920</v>
      </c>
      <c r="E218" s="125">
        <v>21675533</v>
      </c>
      <c r="F218" s="125">
        <v>21544790</v>
      </c>
      <c r="G218" s="125">
        <v>31896577</v>
      </c>
    </row>
    <row r="219" spans="1:7" x14ac:dyDescent="0.45">
      <c r="A219" s="9" t="s">
        <v>506</v>
      </c>
      <c r="B219" s="125">
        <v>1442268</v>
      </c>
      <c r="C219" s="125">
        <v>1573460</v>
      </c>
      <c r="D219" s="125">
        <v>1712911</v>
      </c>
      <c r="E219" s="125">
        <v>1572806</v>
      </c>
      <c r="F219" s="125">
        <v>1688307</v>
      </c>
      <c r="G219" s="125">
        <v>2242387</v>
      </c>
    </row>
    <row r="220" spans="1:7" x14ac:dyDescent="0.45">
      <c r="A220" s="9" t="s">
        <v>507</v>
      </c>
      <c r="B220" s="125">
        <v>4945092</v>
      </c>
      <c r="C220" s="125">
        <v>5422296</v>
      </c>
      <c r="D220" s="125">
        <v>6087110</v>
      </c>
      <c r="E220" s="125">
        <v>6325544</v>
      </c>
      <c r="F220" s="125">
        <v>6534065</v>
      </c>
      <c r="G220" s="125">
        <v>10193630</v>
      </c>
    </row>
    <row r="221" spans="1:7" x14ac:dyDescent="0.45">
      <c r="A221" s="9" t="s">
        <v>508</v>
      </c>
      <c r="B221" s="125">
        <v>64192386</v>
      </c>
      <c r="C221" s="125">
        <v>65369102</v>
      </c>
      <c r="D221" s="125">
        <v>70163566</v>
      </c>
      <c r="E221" s="125">
        <v>74785009</v>
      </c>
      <c r="F221" s="125">
        <v>90367233</v>
      </c>
      <c r="G221" s="125">
        <v>128045916</v>
      </c>
    </row>
    <row r="222" spans="1:7" x14ac:dyDescent="0.45">
      <c r="A222" s="9" t="s">
        <v>509</v>
      </c>
      <c r="B222" s="125">
        <v>16177760</v>
      </c>
      <c r="C222" s="125">
        <v>16668968</v>
      </c>
      <c r="D222" s="125">
        <v>18144436</v>
      </c>
      <c r="E222" s="125">
        <v>22046734</v>
      </c>
      <c r="F222" s="125">
        <v>27143124</v>
      </c>
      <c r="G222" s="125">
        <v>38903904</v>
      </c>
    </row>
    <row r="223" spans="1:7" x14ac:dyDescent="0.45">
      <c r="A223" s="9" t="s">
        <v>510</v>
      </c>
      <c r="B223" s="125">
        <v>24575806</v>
      </c>
      <c r="C223" s="125">
        <v>24810137</v>
      </c>
      <c r="D223" s="125">
        <v>27035730</v>
      </c>
      <c r="E223" s="125">
        <v>27077547</v>
      </c>
      <c r="F223" s="125">
        <v>32238058</v>
      </c>
      <c r="G223" s="125">
        <v>44471564</v>
      </c>
    </row>
    <row r="224" spans="1:7" x14ac:dyDescent="0.45">
      <c r="A224" s="9" t="s">
        <v>511</v>
      </c>
      <c r="B224" s="125">
        <v>4951039</v>
      </c>
      <c r="C224" s="125">
        <v>5205705</v>
      </c>
      <c r="D224" s="125">
        <v>5477672</v>
      </c>
      <c r="E224" s="125">
        <v>6391580</v>
      </c>
      <c r="F224" s="125">
        <v>7418580</v>
      </c>
      <c r="G224" s="125">
        <v>11991635</v>
      </c>
    </row>
    <row r="225" spans="1:7" x14ac:dyDescent="0.45">
      <c r="A225" s="9" t="s">
        <v>512</v>
      </c>
      <c r="B225" s="125">
        <v>18487781</v>
      </c>
      <c r="C225" s="125">
        <v>18684292</v>
      </c>
      <c r="D225" s="125">
        <v>19505728</v>
      </c>
      <c r="E225" s="125">
        <v>19269148</v>
      </c>
      <c r="F225" s="125">
        <v>23567471</v>
      </c>
      <c r="G225" s="125">
        <v>32678813</v>
      </c>
    </row>
    <row r="226" spans="1:7" x14ac:dyDescent="0.45">
      <c r="A226" s="9" t="s">
        <v>513</v>
      </c>
      <c r="B226" s="125">
        <v>69064857</v>
      </c>
      <c r="C226" s="125">
        <v>65477053</v>
      </c>
      <c r="D226" s="125">
        <v>72306162</v>
      </c>
      <c r="E226" s="125">
        <v>76024878</v>
      </c>
      <c r="F226" s="125">
        <v>87123293</v>
      </c>
      <c r="G226" s="125">
        <v>123890612</v>
      </c>
    </row>
    <row r="227" spans="1:7" x14ac:dyDescent="0.45">
      <c r="A227" s="9" t="s">
        <v>514</v>
      </c>
      <c r="B227" s="125">
        <v>10231373</v>
      </c>
      <c r="C227" s="125">
        <v>10552113</v>
      </c>
      <c r="D227" s="125">
        <v>12073528</v>
      </c>
      <c r="E227" s="125">
        <v>12541416</v>
      </c>
      <c r="F227" s="125">
        <v>13525790</v>
      </c>
      <c r="G227" s="125">
        <v>18648886</v>
      </c>
    </row>
    <row r="228" spans="1:7" x14ac:dyDescent="0.45">
      <c r="A228" s="9" t="s">
        <v>515</v>
      </c>
      <c r="B228" s="125">
        <v>4678891</v>
      </c>
      <c r="C228" s="125">
        <v>4778879</v>
      </c>
      <c r="D228" s="125">
        <v>5784140</v>
      </c>
      <c r="E228" s="125">
        <v>6053036</v>
      </c>
      <c r="F228" s="125">
        <v>6238769</v>
      </c>
      <c r="G228" s="125">
        <v>9585907</v>
      </c>
    </row>
    <row r="229" spans="1:7" x14ac:dyDescent="0.45">
      <c r="A229" s="9" t="s">
        <v>516</v>
      </c>
      <c r="B229" s="125">
        <v>3114863</v>
      </c>
      <c r="C229" s="125">
        <v>3325710</v>
      </c>
      <c r="D229" s="125">
        <v>3486221</v>
      </c>
      <c r="E229" s="125">
        <v>3780671</v>
      </c>
      <c r="F229" s="125">
        <v>4184329</v>
      </c>
      <c r="G229" s="125">
        <v>5020011</v>
      </c>
    </row>
    <row r="230" spans="1:7" x14ac:dyDescent="0.45">
      <c r="A230" s="9" t="s">
        <v>517</v>
      </c>
      <c r="B230" s="125">
        <v>2437619</v>
      </c>
      <c r="C230" s="125">
        <v>2447524</v>
      </c>
      <c r="D230" s="125">
        <v>2803167</v>
      </c>
      <c r="E230" s="125">
        <v>2707709</v>
      </c>
      <c r="F230" s="125">
        <v>3102692</v>
      </c>
      <c r="G230" s="125">
        <v>4042968</v>
      </c>
    </row>
    <row r="231" spans="1:7" x14ac:dyDescent="0.45">
      <c r="A231" s="9" t="s">
        <v>518</v>
      </c>
      <c r="B231" s="125">
        <v>14632198</v>
      </c>
      <c r="C231" s="125">
        <v>12571070</v>
      </c>
      <c r="D231" s="125">
        <v>13834509</v>
      </c>
      <c r="E231" s="125">
        <v>13556207</v>
      </c>
      <c r="F231" s="125">
        <v>17182505</v>
      </c>
      <c r="G231" s="125">
        <v>22942716</v>
      </c>
    </row>
    <row r="232" spans="1:7" x14ac:dyDescent="0.45">
      <c r="A232" s="9" t="s">
        <v>519</v>
      </c>
      <c r="B232" s="125">
        <v>14632198</v>
      </c>
      <c r="C232" s="125">
        <v>12571070</v>
      </c>
      <c r="D232" s="125">
        <v>13834509</v>
      </c>
      <c r="E232" s="125">
        <v>13556207</v>
      </c>
      <c r="F232" s="125">
        <v>17182505</v>
      </c>
      <c r="G232" s="125">
        <v>22942716</v>
      </c>
    </row>
    <row r="233" spans="1:7" x14ac:dyDescent="0.45">
      <c r="A233" s="9" t="s">
        <v>520</v>
      </c>
      <c r="B233" s="125">
        <v>16494438</v>
      </c>
      <c r="C233" s="125">
        <v>14911047</v>
      </c>
      <c r="D233" s="125">
        <v>16028083</v>
      </c>
      <c r="E233" s="125">
        <v>17891774</v>
      </c>
      <c r="F233" s="125">
        <v>20925654</v>
      </c>
      <c r="G233" s="125">
        <v>29704090</v>
      </c>
    </row>
    <row r="234" spans="1:7" x14ac:dyDescent="0.45">
      <c r="A234" s="9" t="s">
        <v>521</v>
      </c>
      <c r="B234" s="125">
        <v>16494438</v>
      </c>
      <c r="C234" s="125">
        <v>14911047</v>
      </c>
      <c r="D234" s="125">
        <v>16028083</v>
      </c>
      <c r="E234" s="125">
        <v>17891774</v>
      </c>
      <c r="F234" s="125">
        <v>20925654</v>
      </c>
      <c r="G234" s="125">
        <v>29704090</v>
      </c>
    </row>
    <row r="235" spans="1:7" x14ac:dyDescent="0.45">
      <c r="A235" s="9" t="s">
        <v>522</v>
      </c>
      <c r="B235" s="125">
        <v>14420149</v>
      </c>
      <c r="C235" s="125">
        <v>14330516</v>
      </c>
      <c r="D235" s="125">
        <v>15867449</v>
      </c>
      <c r="E235" s="125">
        <v>17028747</v>
      </c>
      <c r="F235" s="125">
        <v>18568741</v>
      </c>
      <c r="G235" s="125">
        <v>29552332</v>
      </c>
    </row>
    <row r="236" spans="1:7" x14ac:dyDescent="0.45">
      <c r="A236" s="9" t="s">
        <v>523</v>
      </c>
      <c r="B236" s="125">
        <v>2178247</v>
      </c>
      <c r="C236" s="125">
        <v>2300981</v>
      </c>
      <c r="D236" s="125">
        <v>2708898</v>
      </c>
      <c r="E236" s="125">
        <v>2480823</v>
      </c>
      <c r="F236" s="125">
        <v>2771274</v>
      </c>
      <c r="G236" s="125">
        <v>3844167</v>
      </c>
    </row>
    <row r="237" spans="1:7" x14ac:dyDescent="0.45">
      <c r="A237" s="9" t="s">
        <v>524</v>
      </c>
      <c r="B237" s="125">
        <v>10648195</v>
      </c>
      <c r="C237" s="125">
        <v>10348914</v>
      </c>
      <c r="D237" s="125">
        <v>11306370</v>
      </c>
      <c r="E237" s="125">
        <v>12676035</v>
      </c>
      <c r="F237" s="125">
        <v>13821728</v>
      </c>
      <c r="G237" s="125">
        <v>22631490</v>
      </c>
    </row>
    <row r="238" spans="1:7" x14ac:dyDescent="0.45">
      <c r="A238" s="9" t="s">
        <v>525</v>
      </c>
      <c r="B238" s="125">
        <v>1593707</v>
      </c>
      <c r="C238" s="125">
        <v>1680621</v>
      </c>
      <c r="D238" s="125">
        <v>1852181</v>
      </c>
      <c r="E238" s="125">
        <v>1871889</v>
      </c>
      <c r="F238" s="125">
        <v>1975739</v>
      </c>
      <c r="G238" s="125">
        <v>3076675</v>
      </c>
    </row>
    <row r="239" spans="1:7" x14ac:dyDescent="0.45">
      <c r="A239" s="9" t="s">
        <v>526</v>
      </c>
      <c r="B239" s="125">
        <v>13286699</v>
      </c>
      <c r="C239" s="125">
        <v>13112307</v>
      </c>
      <c r="D239" s="125">
        <v>14502593</v>
      </c>
      <c r="E239" s="125">
        <v>15006734</v>
      </c>
      <c r="F239" s="125">
        <v>16920603</v>
      </c>
      <c r="G239" s="125">
        <v>23042588</v>
      </c>
    </row>
    <row r="240" spans="1:7" x14ac:dyDescent="0.45">
      <c r="A240" s="9" t="s">
        <v>527</v>
      </c>
      <c r="B240" s="125">
        <v>3539307</v>
      </c>
      <c r="C240" s="125">
        <v>3244086</v>
      </c>
      <c r="D240" s="125">
        <v>3337491</v>
      </c>
      <c r="E240" s="125">
        <v>3552853</v>
      </c>
      <c r="F240" s="125">
        <v>4424729</v>
      </c>
      <c r="G240" s="125">
        <v>6570131</v>
      </c>
    </row>
    <row r="241" spans="1:7" x14ac:dyDescent="0.45">
      <c r="A241" s="9" t="s">
        <v>528</v>
      </c>
      <c r="B241" s="125">
        <v>1865473</v>
      </c>
      <c r="C241" s="125">
        <v>1860061</v>
      </c>
      <c r="D241" s="125">
        <v>2034257</v>
      </c>
      <c r="E241" s="125">
        <v>2097047</v>
      </c>
      <c r="F241" s="125">
        <v>2116141</v>
      </c>
      <c r="G241" s="125">
        <v>3236999</v>
      </c>
    </row>
    <row r="242" spans="1:7" x14ac:dyDescent="0.45">
      <c r="A242" s="9" t="s">
        <v>529</v>
      </c>
      <c r="B242" s="125">
        <v>7881919</v>
      </c>
      <c r="C242" s="125">
        <v>8008160</v>
      </c>
      <c r="D242" s="125">
        <v>9130845</v>
      </c>
      <c r="E242" s="125">
        <v>9356834</v>
      </c>
      <c r="F242" s="125">
        <v>10379733</v>
      </c>
      <c r="G242" s="125">
        <v>13235458</v>
      </c>
    </row>
    <row r="243" spans="1:7" x14ac:dyDescent="0.45">
      <c r="A243" s="9" t="s">
        <v>530</v>
      </c>
      <c r="B243" s="125">
        <v>151854847</v>
      </c>
      <c r="C243" s="125">
        <v>176970341</v>
      </c>
      <c r="D243" s="125">
        <v>233770734</v>
      </c>
      <c r="E243" s="125">
        <v>228954782</v>
      </c>
      <c r="F243" s="125">
        <v>252818440</v>
      </c>
      <c r="G243" s="125">
        <v>443993123</v>
      </c>
    </row>
    <row r="244" spans="1:7" x14ac:dyDescent="0.45">
      <c r="A244" s="9" t="s">
        <v>531</v>
      </c>
      <c r="B244" s="125">
        <v>11911344</v>
      </c>
      <c r="C244" s="125">
        <v>15130666</v>
      </c>
      <c r="D244" s="125">
        <v>21956822</v>
      </c>
      <c r="E244" s="125">
        <v>22583825</v>
      </c>
      <c r="F244" s="125">
        <v>24090190</v>
      </c>
      <c r="G244" s="125">
        <v>41713218</v>
      </c>
    </row>
    <row r="245" spans="1:7" x14ac:dyDescent="0.45">
      <c r="A245" s="9" t="s">
        <v>532</v>
      </c>
      <c r="B245" s="125">
        <v>2883848</v>
      </c>
      <c r="C245" s="125">
        <v>4506559</v>
      </c>
      <c r="D245" s="125">
        <v>5573620</v>
      </c>
      <c r="E245" s="125">
        <v>6097221</v>
      </c>
      <c r="F245" s="125">
        <v>7966549</v>
      </c>
      <c r="G245" s="125">
        <v>14493624</v>
      </c>
    </row>
    <row r="246" spans="1:7" x14ac:dyDescent="0.45">
      <c r="A246" s="9" t="s">
        <v>533</v>
      </c>
      <c r="B246" s="125">
        <v>9027496</v>
      </c>
      <c r="C246" s="125">
        <v>10624107</v>
      </c>
      <c r="D246" s="125">
        <v>16383202</v>
      </c>
      <c r="E246" s="125">
        <v>16486604</v>
      </c>
      <c r="F246" s="125">
        <v>16123641</v>
      </c>
      <c r="G246" s="125">
        <v>27219594</v>
      </c>
    </row>
    <row r="247" spans="1:7" x14ac:dyDescent="0.45">
      <c r="A247" s="9" t="s">
        <v>534</v>
      </c>
      <c r="B247" s="125">
        <v>73323563</v>
      </c>
      <c r="C247" s="125">
        <v>89866350</v>
      </c>
      <c r="D247" s="125">
        <v>122896872</v>
      </c>
      <c r="E247" s="125">
        <v>115637359</v>
      </c>
      <c r="F247" s="125">
        <v>126553159</v>
      </c>
      <c r="G247" s="125">
        <v>259070991</v>
      </c>
    </row>
    <row r="248" spans="1:7" x14ac:dyDescent="0.45">
      <c r="A248" s="9" t="s">
        <v>535</v>
      </c>
      <c r="B248" s="125">
        <v>14897066</v>
      </c>
      <c r="C248" s="125">
        <v>18790245</v>
      </c>
      <c r="D248" s="125">
        <v>53662522</v>
      </c>
      <c r="E248" s="125">
        <v>23637695</v>
      </c>
      <c r="F248" s="125">
        <v>26518274</v>
      </c>
      <c r="G248" s="125">
        <v>52373043</v>
      </c>
    </row>
    <row r="249" spans="1:7" x14ac:dyDescent="0.45">
      <c r="A249" s="9" t="s">
        <v>536</v>
      </c>
      <c r="B249" s="125">
        <v>36696122</v>
      </c>
      <c r="C249" s="125">
        <v>46190162</v>
      </c>
      <c r="D249" s="125">
        <v>34746656</v>
      </c>
      <c r="E249" s="125">
        <v>55764912</v>
      </c>
      <c r="F249" s="125">
        <v>58803171</v>
      </c>
      <c r="G249" s="125">
        <v>128365944</v>
      </c>
    </row>
    <row r="250" spans="1:7" x14ac:dyDescent="0.45">
      <c r="A250" s="9" t="s">
        <v>537</v>
      </c>
      <c r="B250" s="125">
        <v>14429312</v>
      </c>
      <c r="C250" s="125">
        <v>15686145</v>
      </c>
      <c r="D250" s="125">
        <v>21247661</v>
      </c>
      <c r="E250" s="125">
        <v>19215147</v>
      </c>
      <c r="F250" s="125">
        <v>21125000</v>
      </c>
      <c r="G250" s="125">
        <v>39683218</v>
      </c>
    </row>
    <row r="251" spans="1:7" x14ac:dyDescent="0.45">
      <c r="A251" s="9" t="s">
        <v>538</v>
      </c>
      <c r="B251" s="125">
        <v>7301063</v>
      </c>
      <c r="C251" s="125">
        <v>9199798</v>
      </c>
      <c r="D251" s="125">
        <v>13240033</v>
      </c>
      <c r="E251" s="125">
        <v>17019605</v>
      </c>
      <c r="F251" s="125">
        <v>20106714</v>
      </c>
      <c r="G251" s="125">
        <v>38648786</v>
      </c>
    </row>
    <row r="252" spans="1:7" x14ac:dyDescent="0.45">
      <c r="A252" s="9" t="s">
        <v>539</v>
      </c>
      <c r="B252" s="125">
        <v>11206842</v>
      </c>
      <c r="C252" s="125">
        <v>10826571</v>
      </c>
      <c r="D252" s="125">
        <v>12996658</v>
      </c>
      <c r="E252" s="125">
        <v>12687216</v>
      </c>
      <c r="F252" s="125">
        <v>13607774</v>
      </c>
      <c r="G252" s="125">
        <v>20511952</v>
      </c>
    </row>
    <row r="253" spans="1:7" x14ac:dyDescent="0.45">
      <c r="A253" s="9" t="s">
        <v>540</v>
      </c>
      <c r="B253" s="125">
        <v>5405831</v>
      </c>
      <c r="C253" s="125">
        <v>6374995</v>
      </c>
      <c r="D253" s="125">
        <v>6225012</v>
      </c>
      <c r="E253" s="125">
        <v>6833142</v>
      </c>
      <c r="F253" s="125">
        <v>8544964</v>
      </c>
      <c r="G253" s="125">
        <v>13946224</v>
      </c>
    </row>
    <row r="254" spans="1:7" x14ac:dyDescent="0.45">
      <c r="A254" s="9" t="s">
        <v>541</v>
      </c>
      <c r="B254" s="125">
        <v>5801011</v>
      </c>
      <c r="C254" s="125">
        <v>4451576</v>
      </c>
      <c r="D254" s="125">
        <v>6771646</v>
      </c>
      <c r="E254" s="125">
        <v>5854074</v>
      </c>
      <c r="F254" s="125">
        <v>5062810</v>
      </c>
      <c r="G254" s="125">
        <v>6565728</v>
      </c>
    </row>
    <row r="255" spans="1:7" x14ac:dyDescent="0.45">
      <c r="A255" s="9" t="s">
        <v>542</v>
      </c>
      <c r="B255" s="125">
        <v>51886329</v>
      </c>
      <c r="C255" s="125">
        <v>57016652</v>
      </c>
      <c r="D255" s="125">
        <v>70827988</v>
      </c>
      <c r="E255" s="125">
        <v>72956726</v>
      </c>
      <c r="F255" s="125">
        <v>83086179</v>
      </c>
      <c r="G255" s="125">
        <v>114296941</v>
      </c>
    </row>
    <row r="256" spans="1:7" x14ac:dyDescent="0.45">
      <c r="A256" s="9" t="s">
        <v>543</v>
      </c>
      <c r="B256" s="125">
        <v>28486266</v>
      </c>
      <c r="C256" s="125">
        <v>32563173</v>
      </c>
      <c r="D256" s="125">
        <v>37779285</v>
      </c>
      <c r="E256" s="125">
        <v>37608258</v>
      </c>
      <c r="F256" s="125">
        <v>40310981</v>
      </c>
      <c r="G256" s="125">
        <v>59960155</v>
      </c>
    </row>
    <row r="257" spans="1:7" x14ac:dyDescent="0.45">
      <c r="A257" s="9" t="s">
        <v>544</v>
      </c>
      <c r="B257" s="125">
        <v>9380204</v>
      </c>
      <c r="C257" s="125">
        <v>9429710</v>
      </c>
      <c r="D257" s="125">
        <v>12753480</v>
      </c>
      <c r="E257" s="125">
        <v>14233629</v>
      </c>
      <c r="F257" s="125">
        <v>21524640</v>
      </c>
      <c r="G257" s="125">
        <v>22401019</v>
      </c>
    </row>
    <row r="258" spans="1:7" x14ac:dyDescent="0.45">
      <c r="A258" s="9" t="s">
        <v>545</v>
      </c>
      <c r="B258" s="125">
        <v>9104076</v>
      </c>
      <c r="C258" s="125">
        <v>9062037</v>
      </c>
      <c r="D258" s="125">
        <v>11330448</v>
      </c>
      <c r="E258" s="125">
        <v>12893092</v>
      </c>
      <c r="F258" s="125">
        <v>14618165</v>
      </c>
      <c r="G258" s="125">
        <v>22876278</v>
      </c>
    </row>
    <row r="259" spans="1:7" x14ac:dyDescent="0.45">
      <c r="A259" s="9" t="s">
        <v>546</v>
      </c>
      <c r="B259" s="125">
        <v>4915783</v>
      </c>
      <c r="C259" s="125">
        <v>5961732</v>
      </c>
      <c r="D259" s="125">
        <v>8964775</v>
      </c>
      <c r="E259" s="125">
        <v>8221747</v>
      </c>
      <c r="F259" s="125">
        <v>6632393</v>
      </c>
      <c r="G259" s="125">
        <v>9059489</v>
      </c>
    </row>
    <row r="260" spans="1:7" x14ac:dyDescent="0.45">
      <c r="A260" s="9" t="s">
        <v>547</v>
      </c>
      <c r="B260" s="125">
        <v>3526769</v>
      </c>
      <c r="C260" s="125">
        <v>4130102</v>
      </c>
      <c r="D260" s="125">
        <v>5092394</v>
      </c>
      <c r="E260" s="125">
        <v>5089656</v>
      </c>
      <c r="F260" s="125">
        <v>5481138</v>
      </c>
      <c r="G260" s="125">
        <v>8400021</v>
      </c>
    </row>
    <row r="261" spans="1:7" x14ac:dyDescent="0.45">
      <c r="A261" s="9" t="s">
        <v>548</v>
      </c>
      <c r="B261" s="125">
        <v>2639810</v>
      </c>
      <c r="C261" s="125">
        <v>3021524</v>
      </c>
      <c r="D261" s="125">
        <v>3713952</v>
      </c>
      <c r="E261" s="125">
        <v>3764663</v>
      </c>
      <c r="F261" s="125">
        <v>4022910</v>
      </c>
      <c r="G261" s="125">
        <v>5856789</v>
      </c>
    </row>
    <row r="262" spans="1:7" x14ac:dyDescent="0.45">
      <c r="A262" s="9" t="s">
        <v>549</v>
      </c>
      <c r="B262" s="125">
        <v>886959</v>
      </c>
      <c r="C262" s="125">
        <v>1108578</v>
      </c>
      <c r="D262" s="125">
        <v>1378442</v>
      </c>
      <c r="E262" s="125">
        <v>1324993</v>
      </c>
      <c r="F262" s="125">
        <v>1458228</v>
      </c>
      <c r="G262" s="125">
        <v>2543232</v>
      </c>
    </row>
    <row r="263" spans="1:7" x14ac:dyDescent="0.45">
      <c r="A263" s="9" t="s">
        <v>550</v>
      </c>
      <c r="B263" s="125">
        <v>62655702</v>
      </c>
      <c r="C263" s="125">
        <v>64361734</v>
      </c>
      <c r="D263" s="125">
        <v>74534700</v>
      </c>
      <c r="E263" s="125">
        <v>78479242</v>
      </c>
      <c r="F263" s="125">
        <v>93361779</v>
      </c>
      <c r="G263" s="125">
        <v>141526131</v>
      </c>
    </row>
    <row r="264" spans="1:7" x14ac:dyDescent="0.45">
      <c r="A264" s="9" t="s">
        <v>551</v>
      </c>
      <c r="B264" s="125">
        <v>9890368</v>
      </c>
      <c r="C264" s="125">
        <v>9594180</v>
      </c>
      <c r="D264" s="125">
        <v>10768402</v>
      </c>
      <c r="E264" s="125">
        <v>12368261</v>
      </c>
      <c r="F264" s="125">
        <v>15492902</v>
      </c>
      <c r="G264" s="125">
        <v>22223422</v>
      </c>
    </row>
    <row r="265" spans="1:7" x14ac:dyDescent="0.45">
      <c r="A265" s="9" t="s">
        <v>552</v>
      </c>
      <c r="B265" s="125">
        <v>6379328</v>
      </c>
      <c r="C265" s="125">
        <v>6472699</v>
      </c>
      <c r="D265" s="125">
        <v>7383537</v>
      </c>
      <c r="E265" s="125">
        <v>8955062</v>
      </c>
      <c r="F265" s="125">
        <v>11840812</v>
      </c>
      <c r="G265" s="125">
        <v>17364414</v>
      </c>
    </row>
    <row r="266" spans="1:7" x14ac:dyDescent="0.45">
      <c r="A266" s="9" t="s">
        <v>553</v>
      </c>
      <c r="B266" s="125">
        <v>2405901</v>
      </c>
      <c r="C266" s="125">
        <v>2138677</v>
      </c>
      <c r="D266" s="125">
        <v>2280690</v>
      </c>
      <c r="E266" s="125">
        <v>2319116</v>
      </c>
      <c r="F266" s="125">
        <v>2441699</v>
      </c>
      <c r="G266" s="125">
        <v>3459178</v>
      </c>
    </row>
    <row r="267" spans="1:7" x14ac:dyDescent="0.45">
      <c r="A267" s="9" t="s">
        <v>554</v>
      </c>
      <c r="B267" s="125">
        <v>1105139</v>
      </c>
      <c r="C267" s="125">
        <v>982804</v>
      </c>
      <c r="D267" s="125">
        <v>1104175</v>
      </c>
      <c r="E267" s="125">
        <v>1094083</v>
      </c>
      <c r="F267" s="125">
        <v>1210391</v>
      </c>
      <c r="G267" s="125">
        <v>1399830</v>
      </c>
    </row>
    <row r="268" spans="1:7" x14ac:dyDescent="0.45">
      <c r="A268" s="9" t="s">
        <v>555</v>
      </c>
      <c r="B268" s="125">
        <v>2245999</v>
      </c>
      <c r="C268" s="125">
        <v>2334522</v>
      </c>
      <c r="D268" s="125">
        <v>1717359</v>
      </c>
      <c r="E268" s="125">
        <v>2127042</v>
      </c>
      <c r="F268" s="125">
        <v>2991932</v>
      </c>
      <c r="G268" s="125">
        <v>3497688</v>
      </c>
    </row>
    <row r="269" spans="1:7" x14ac:dyDescent="0.45">
      <c r="A269" s="9" t="s">
        <v>556</v>
      </c>
      <c r="B269" s="125">
        <v>1333055</v>
      </c>
      <c r="C269" s="125">
        <v>1632370</v>
      </c>
      <c r="D269" s="125">
        <v>879465</v>
      </c>
      <c r="E269" s="125">
        <v>983794</v>
      </c>
      <c r="F269" s="125">
        <v>1531318</v>
      </c>
      <c r="G269" s="125">
        <v>1617359</v>
      </c>
    </row>
    <row r="270" spans="1:7" x14ac:dyDescent="0.45">
      <c r="A270" s="9" t="s">
        <v>557</v>
      </c>
      <c r="B270" s="125">
        <v>912944</v>
      </c>
      <c r="C270" s="125">
        <v>702152</v>
      </c>
      <c r="D270" s="125">
        <v>837894</v>
      </c>
      <c r="E270" s="125">
        <v>1143248</v>
      </c>
      <c r="F270" s="125">
        <v>1460614</v>
      </c>
      <c r="G270" s="125">
        <v>1880329</v>
      </c>
    </row>
    <row r="271" spans="1:7" x14ac:dyDescent="0.45">
      <c r="A271" s="9" t="s">
        <v>558</v>
      </c>
      <c r="B271" s="125">
        <v>7669382</v>
      </c>
      <c r="C271" s="125">
        <v>7827214</v>
      </c>
      <c r="D271" s="125">
        <v>9663818</v>
      </c>
      <c r="E271" s="125">
        <v>9942161</v>
      </c>
      <c r="F271" s="125">
        <v>10968518</v>
      </c>
      <c r="G271" s="125">
        <v>18736935</v>
      </c>
    </row>
    <row r="272" spans="1:7" x14ac:dyDescent="0.45">
      <c r="A272" s="9" t="s">
        <v>559</v>
      </c>
      <c r="B272" s="125">
        <v>619427</v>
      </c>
      <c r="C272" s="125">
        <v>655849</v>
      </c>
      <c r="D272" s="125">
        <v>1094293</v>
      </c>
      <c r="E272" s="125">
        <v>1177706</v>
      </c>
      <c r="F272" s="125">
        <v>1249248</v>
      </c>
      <c r="G272" s="125">
        <v>1911991</v>
      </c>
    </row>
    <row r="273" spans="1:7" x14ac:dyDescent="0.45">
      <c r="A273" s="9" t="s">
        <v>560</v>
      </c>
      <c r="B273" s="125">
        <v>3818054</v>
      </c>
      <c r="C273" s="125">
        <v>4152956</v>
      </c>
      <c r="D273" s="125">
        <v>4942656</v>
      </c>
      <c r="E273" s="125">
        <v>5176520</v>
      </c>
      <c r="F273" s="125">
        <v>5783372</v>
      </c>
      <c r="G273" s="125">
        <v>10683388</v>
      </c>
    </row>
    <row r="274" spans="1:7" x14ac:dyDescent="0.45">
      <c r="A274" s="9" t="s">
        <v>561</v>
      </c>
      <c r="B274" s="125">
        <v>3231901</v>
      </c>
      <c r="C274" s="125">
        <v>3018409</v>
      </c>
      <c r="D274" s="125">
        <v>3626869</v>
      </c>
      <c r="E274" s="125">
        <v>3587935</v>
      </c>
      <c r="F274" s="125">
        <v>3935898</v>
      </c>
      <c r="G274" s="125">
        <v>6141556</v>
      </c>
    </row>
    <row r="275" spans="1:7" x14ac:dyDescent="0.45">
      <c r="A275" s="9" t="s">
        <v>562</v>
      </c>
      <c r="B275" s="125">
        <v>9460257</v>
      </c>
      <c r="C275" s="125">
        <v>10354070</v>
      </c>
      <c r="D275" s="125">
        <v>11020626</v>
      </c>
      <c r="E275" s="125">
        <v>9437696</v>
      </c>
      <c r="F275" s="125">
        <v>10842638</v>
      </c>
      <c r="G275" s="125">
        <v>16197982</v>
      </c>
    </row>
    <row r="276" spans="1:7" x14ac:dyDescent="0.45">
      <c r="A276" s="9" t="s">
        <v>563</v>
      </c>
      <c r="B276" s="125">
        <v>3096182</v>
      </c>
      <c r="C276" s="125">
        <v>3237969</v>
      </c>
      <c r="D276" s="125">
        <v>2982139</v>
      </c>
      <c r="E276" s="125">
        <v>1479467</v>
      </c>
      <c r="F276" s="125">
        <v>2220250</v>
      </c>
      <c r="G276" s="125">
        <v>3235371</v>
      </c>
    </row>
    <row r="277" spans="1:7" x14ac:dyDescent="0.45">
      <c r="A277" s="9" t="s">
        <v>564</v>
      </c>
      <c r="B277" s="125">
        <v>3062134</v>
      </c>
      <c r="C277" s="125">
        <v>2976454</v>
      </c>
      <c r="D277" s="125">
        <v>3368871</v>
      </c>
      <c r="E277" s="125">
        <v>3419814</v>
      </c>
      <c r="F277" s="125">
        <v>3764994</v>
      </c>
      <c r="G277" s="125">
        <v>5657492</v>
      </c>
    </row>
    <row r="278" spans="1:7" x14ac:dyDescent="0.45">
      <c r="A278" s="9" t="s">
        <v>565</v>
      </c>
      <c r="B278" s="125">
        <v>3301941</v>
      </c>
      <c r="C278" s="125">
        <v>4139647</v>
      </c>
      <c r="D278" s="125">
        <v>4669616</v>
      </c>
      <c r="E278" s="125">
        <v>4538415</v>
      </c>
      <c r="F278" s="125">
        <v>4857394</v>
      </c>
      <c r="G278" s="125">
        <v>7305119</v>
      </c>
    </row>
    <row r="279" spans="1:7" x14ac:dyDescent="0.45">
      <c r="A279" s="9" t="s">
        <v>566</v>
      </c>
      <c r="B279" s="125">
        <v>1324010</v>
      </c>
      <c r="C279" s="125">
        <v>1728847</v>
      </c>
      <c r="D279" s="125">
        <v>2031717</v>
      </c>
      <c r="E279" s="125">
        <v>2199470</v>
      </c>
      <c r="F279" s="125">
        <v>2754604</v>
      </c>
      <c r="G279" s="125">
        <v>4047513</v>
      </c>
    </row>
    <row r="280" spans="1:7" x14ac:dyDescent="0.45">
      <c r="A280" s="9" t="s">
        <v>567</v>
      </c>
      <c r="B280" s="125">
        <v>1324010</v>
      </c>
      <c r="C280" s="125">
        <v>1728847</v>
      </c>
      <c r="D280" s="125">
        <v>2031717</v>
      </c>
      <c r="E280" s="125">
        <v>2199470</v>
      </c>
      <c r="F280" s="125">
        <v>2754604</v>
      </c>
      <c r="G280" s="125">
        <v>4047513</v>
      </c>
    </row>
    <row r="281" spans="1:7" x14ac:dyDescent="0.45">
      <c r="A281" s="9" t="s">
        <v>568</v>
      </c>
      <c r="B281" s="125">
        <v>32065686</v>
      </c>
      <c r="C281" s="125">
        <v>32522901</v>
      </c>
      <c r="D281" s="125">
        <v>39332778</v>
      </c>
      <c r="E281" s="125">
        <v>42404612</v>
      </c>
      <c r="F281" s="125">
        <v>50311185</v>
      </c>
      <c r="G281" s="125">
        <v>76822591</v>
      </c>
    </row>
    <row r="282" spans="1:7" x14ac:dyDescent="0.45">
      <c r="A282" s="9" t="s">
        <v>569</v>
      </c>
      <c r="B282" s="125">
        <v>11448945</v>
      </c>
      <c r="C282" s="125">
        <v>12074819</v>
      </c>
      <c r="D282" s="125">
        <v>14755603</v>
      </c>
      <c r="E282" s="125">
        <v>16998900</v>
      </c>
      <c r="F282" s="125">
        <v>21499404</v>
      </c>
      <c r="G282" s="125">
        <v>28148784</v>
      </c>
    </row>
    <row r="283" spans="1:7" x14ac:dyDescent="0.45">
      <c r="A283" s="9" t="s">
        <v>570</v>
      </c>
      <c r="B283" s="125">
        <v>7396626</v>
      </c>
      <c r="C283" s="125">
        <v>6999192</v>
      </c>
      <c r="D283" s="125">
        <v>8566917</v>
      </c>
      <c r="E283" s="125">
        <v>9250150</v>
      </c>
      <c r="F283" s="125">
        <v>10599548</v>
      </c>
      <c r="G283" s="125">
        <v>16502467</v>
      </c>
    </row>
    <row r="284" spans="1:7" x14ac:dyDescent="0.45">
      <c r="A284" s="9" t="s">
        <v>571</v>
      </c>
      <c r="B284" s="125">
        <v>1167146</v>
      </c>
      <c r="C284" s="125">
        <v>1280904</v>
      </c>
      <c r="D284" s="125">
        <v>1699380</v>
      </c>
      <c r="E284" s="125">
        <v>1687289</v>
      </c>
      <c r="F284" s="125">
        <v>2311955</v>
      </c>
      <c r="G284" s="125">
        <v>3175206</v>
      </c>
    </row>
    <row r="285" spans="1:7" x14ac:dyDescent="0.45">
      <c r="A285" s="9" t="s">
        <v>572</v>
      </c>
      <c r="B285" s="125">
        <v>12052969</v>
      </c>
      <c r="C285" s="125">
        <v>12167986</v>
      </c>
      <c r="D285" s="125">
        <v>14310878</v>
      </c>
      <c r="E285" s="125">
        <v>14468273</v>
      </c>
      <c r="F285" s="125">
        <v>15900278</v>
      </c>
      <c r="G285" s="125">
        <v>28996134</v>
      </c>
    </row>
    <row r="286" spans="1:7" x14ac:dyDescent="0.45">
      <c r="A286" s="9" t="s">
        <v>194</v>
      </c>
      <c r="B286" s="125">
        <v>73150745</v>
      </c>
      <c r="C286" s="125">
        <v>86771242</v>
      </c>
      <c r="D286" s="125">
        <v>99507283</v>
      </c>
      <c r="E286" s="125">
        <v>100390273</v>
      </c>
      <c r="F286" s="125">
        <v>108491943</v>
      </c>
      <c r="G286" s="125">
        <v>140418767</v>
      </c>
    </row>
    <row r="287" spans="1:7" x14ac:dyDescent="0.45">
      <c r="A287" s="9" t="s">
        <v>272</v>
      </c>
      <c r="B287" s="125">
        <v>3981880</v>
      </c>
      <c r="C287" s="125">
        <v>6997812</v>
      </c>
      <c r="D287" s="125">
        <v>8262281</v>
      </c>
      <c r="E287" s="125">
        <v>6813506</v>
      </c>
      <c r="F287" s="125">
        <v>8217525</v>
      </c>
      <c r="G287" s="125">
        <v>14143650</v>
      </c>
    </row>
    <row r="288" spans="1:7" x14ac:dyDescent="0.45">
      <c r="A288" s="9" t="s">
        <v>273</v>
      </c>
      <c r="B288" s="125">
        <v>3981880</v>
      </c>
      <c r="C288" s="125">
        <v>6997812</v>
      </c>
      <c r="D288" s="125">
        <v>8262281</v>
      </c>
      <c r="E288" s="125">
        <v>6813506</v>
      </c>
      <c r="F288" s="125">
        <v>8217525</v>
      </c>
      <c r="G288" s="125">
        <v>14143650</v>
      </c>
    </row>
    <row r="289" spans="1:7" x14ac:dyDescent="0.45">
      <c r="A289" s="9" t="s">
        <v>274</v>
      </c>
      <c r="B289" s="125">
        <v>13535433</v>
      </c>
      <c r="C289" s="125">
        <v>15328500</v>
      </c>
      <c r="D289" s="125">
        <v>19124912</v>
      </c>
      <c r="E289" s="125">
        <v>20957946</v>
      </c>
      <c r="F289" s="125">
        <v>23227273</v>
      </c>
      <c r="G289" s="125">
        <v>35867678</v>
      </c>
    </row>
    <row r="290" spans="1:7" x14ac:dyDescent="0.45">
      <c r="A290" s="9" t="s">
        <v>573</v>
      </c>
      <c r="B290" s="125">
        <v>8910735</v>
      </c>
      <c r="C290" s="125">
        <v>10744142</v>
      </c>
      <c r="D290" s="125">
        <v>12603531</v>
      </c>
      <c r="E290" s="125">
        <v>14229173</v>
      </c>
      <c r="F290" s="125">
        <v>17038106</v>
      </c>
      <c r="G290" s="125">
        <v>25718790</v>
      </c>
    </row>
    <row r="291" spans="1:7" x14ac:dyDescent="0.45">
      <c r="A291" s="9" t="s">
        <v>574</v>
      </c>
      <c r="B291" s="125">
        <v>4624698</v>
      </c>
      <c r="C291" s="125">
        <v>4584358</v>
      </c>
      <c r="D291" s="125">
        <v>6521381</v>
      </c>
      <c r="E291" s="125">
        <v>6728773</v>
      </c>
      <c r="F291" s="125">
        <v>6189167</v>
      </c>
      <c r="G291" s="125">
        <v>10148888</v>
      </c>
    </row>
    <row r="292" spans="1:7" x14ac:dyDescent="0.45">
      <c r="A292" s="9" t="s">
        <v>575</v>
      </c>
      <c r="B292" s="125">
        <v>34931098</v>
      </c>
      <c r="C292" s="125">
        <v>40560734</v>
      </c>
      <c r="D292" s="125">
        <v>46905721</v>
      </c>
      <c r="E292" s="125">
        <v>47194046</v>
      </c>
      <c r="F292" s="125">
        <v>48560973</v>
      </c>
      <c r="G292" s="125">
        <v>55904297</v>
      </c>
    </row>
    <row r="293" spans="1:7" x14ac:dyDescent="0.45">
      <c r="A293" s="9" t="s">
        <v>576</v>
      </c>
      <c r="B293" s="125">
        <v>4068207</v>
      </c>
      <c r="C293" s="125">
        <v>5766026</v>
      </c>
      <c r="D293" s="125">
        <v>8962465</v>
      </c>
      <c r="E293" s="125">
        <v>9326347</v>
      </c>
      <c r="F293" s="125">
        <v>9891345</v>
      </c>
      <c r="G293" s="125">
        <v>14463887</v>
      </c>
    </row>
    <row r="294" spans="1:7" x14ac:dyDescent="0.45">
      <c r="A294" s="9" t="s">
        <v>577</v>
      </c>
      <c r="B294" s="125">
        <v>30862891</v>
      </c>
      <c r="C294" s="125">
        <v>34794708</v>
      </c>
      <c r="D294" s="125">
        <v>37943256</v>
      </c>
      <c r="E294" s="125">
        <v>37867699</v>
      </c>
      <c r="F294" s="125">
        <v>38669628</v>
      </c>
      <c r="G294" s="125">
        <v>41440410</v>
      </c>
    </row>
    <row r="295" spans="1:7" x14ac:dyDescent="0.45">
      <c r="A295" s="9" t="s">
        <v>578</v>
      </c>
      <c r="B295" s="125">
        <v>13911563</v>
      </c>
      <c r="C295" s="125">
        <v>16869191</v>
      </c>
      <c r="D295" s="125">
        <v>17425568</v>
      </c>
      <c r="E295" s="125">
        <v>17272183</v>
      </c>
      <c r="F295" s="125">
        <v>19495074</v>
      </c>
      <c r="G295" s="125">
        <v>23644239</v>
      </c>
    </row>
    <row r="296" spans="1:7" x14ac:dyDescent="0.45">
      <c r="A296" s="9" t="s">
        <v>579</v>
      </c>
      <c r="B296" s="125">
        <v>13911563</v>
      </c>
      <c r="C296" s="125">
        <v>16869191</v>
      </c>
      <c r="D296" s="125">
        <v>17425568</v>
      </c>
      <c r="E296" s="125">
        <v>17272183</v>
      </c>
      <c r="F296" s="125">
        <v>19495074</v>
      </c>
      <c r="G296" s="125">
        <v>23644239</v>
      </c>
    </row>
    <row r="297" spans="1:7" x14ac:dyDescent="0.45">
      <c r="A297" s="9" t="s">
        <v>580</v>
      </c>
      <c r="B297" s="125">
        <v>4822881</v>
      </c>
      <c r="C297" s="125">
        <v>5309316</v>
      </c>
      <c r="D297" s="125">
        <v>6464488</v>
      </c>
      <c r="E297" s="125">
        <v>6745585</v>
      </c>
      <c r="F297" s="125">
        <v>6772830</v>
      </c>
      <c r="G297" s="125">
        <v>9199124</v>
      </c>
    </row>
    <row r="298" spans="1:7" x14ac:dyDescent="0.45">
      <c r="A298" s="9" t="s">
        <v>581</v>
      </c>
      <c r="B298" s="125">
        <v>3742622</v>
      </c>
      <c r="C298" s="125">
        <v>4256146</v>
      </c>
      <c r="D298" s="125">
        <v>5320165</v>
      </c>
      <c r="E298" s="125">
        <v>5638667</v>
      </c>
      <c r="F298" s="125">
        <v>5886795</v>
      </c>
      <c r="G298" s="125">
        <v>7940159</v>
      </c>
    </row>
    <row r="299" spans="1:7" x14ac:dyDescent="0.45">
      <c r="A299" s="9" t="s">
        <v>582</v>
      </c>
      <c r="B299" s="125">
        <v>1080259</v>
      </c>
      <c r="C299" s="125">
        <v>1053170</v>
      </c>
      <c r="D299" s="125">
        <v>1144323</v>
      </c>
      <c r="E299" s="125">
        <v>1106918</v>
      </c>
      <c r="F299" s="125">
        <v>886035</v>
      </c>
      <c r="G299" s="125">
        <v>1258965</v>
      </c>
    </row>
    <row r="300" spans="1:7" x14ac:dyDescent="0.45">
      <c r="A300" s="9" t="s">
        <v>195</v>
      </c>
      <c r="B300" s="125">
        <v>1589143</v>
      </c>
      <c r="C300" s="125">
        <v>1565634</v>
      </c>
      <c r="D300" s="125">
        <v>1173653</v>
      </c>
      <c r="E300" s="125">
        <v>1254644</v>
      </c>
      <c r="F300" s="125">
        <v>2031545</v>
      </c>
      <c r="G300" s="125">
        <v>1585164</v>
      </c>
    </row>
    <row r="301" spans="1:7" x14ac:dyDescent="0.45">
      <c r="A301" s="9" t="s">
        <v>583</v>
      </c>
      <c r="B301" s="125">
        <v>1589143</v>
      </c>
      <c r="C301" s="125">
        <v>1565634</v>
      </c>
      <c r="D301" s="125">
        <v>1173653</v>
      </c>
      <c r="E301" s="125">
        <v>1254644</v>
      </c>
      <c r="F301" s="125">
        <v>2031545</v>
      </c>
      <c r="G301" s="125">
        <v>1585164</v>
      </c>
    </row>
    <row r="302" spans="1:7" x14ac:dyDescent="0.45">
      <c r="A302" s="9" t="s">
        <v>584</v>
      </c>
      <c r="B302" s="125">
        <v>313515</v>
      </c>
      <c r="C302" s="125">
        <v>108930</v>
      </c>
      <c r="D302" s="125" t="s">
        <v>34</v>
      </c>
      <c r="E302" s="125">
        <v>152363</v>
      </c>
      <c r="F302" s="125">
        <v>186723</v>
      </c>
      <c r="G302" s="125">
        <v>74615</v>
      </c>
    </row>
    <row r="303" spans="1:7" x14ac:dyDescent="0.45">
      <c r="A303" s="9" t="s">
        <v>585</v>
      </c>
      <c r="B303" s="125">
        <v>313515</v>
      </c>
      <c r="C303" s="125">
        <v>108930</v>
      </c>
      <c r="D303" s="125" t="s">
        <v>34</v>
      </c>
      <c r="E303" s="125">
        <v>152363</v>
      </c>
      <c r="F303" s="125">
        <v>186723</v>
      </c>
      <c r="G303" s="125">
        <v>74615</v>
      </c>
    </row>
    <row r="304" spans="1:7" x14ac:dyDescent="0.45">
      <c r="A304" s="9" t="s">
        <v>586</v>
      </c>
      <c r="B304" s="125">
        <v>65232</v>
      </c>
      <c r="C304" s="125">
        <v>31125</v>
      </c>
      <c r="D304" s="125" t="s">
        <v>34</v>
      </c>
      <c r="E304" s="125" t="s">
        <v>35</v>
      </c>
      <c r="F304" s="125" t="s">
        <v>35</v>
      </c>
      <c r="G304" s="125" t="s">
        <v>35</v>
      </c>
    </row>
    <row r="305" spans="1:7" x14ac:dyDescent="0.45">
      <c r="A305" s="9" t="s">
        <v>587</v>
      </c>
      <c r="B305" s="125">
        <v>65232</v>
      </c>
      <c r="C305" s="125">
        <v>31125</v>
      </c>
      <c r="D305" s="125" t="s">
        <v>34</v>
      </c>
      <c r="E305" s="125" t="s">
        <v>35</v>
      </c>
      <c r="F305" s="125" t="s">
        <v>35</v>
      </c>
      <c r="G305" s="125" t="s">
        <v>35</v>
      </c>
    </row>
    <row r="306" spans="1:7" x14ac:dyDescent="0.45">
      <c r="A306" s="9" t="s">
        <v>588</v>
      </c>
      <c r="B306" s="125">
        <v>65129170</v>
      </c>
      <c r="C306" s="125">
        <v>67514053</v>
      </c>
      <c r="D306" s="125">
        <v>73356802</v>
      </c>
      <c r="E306" s="125">
        <v>82720868</v>
      </c>
      <c r="F306" s="125">
        <v>96450581</v>
      </c>
      <c r="G306" s="125">
        <v>133078554</v>
      </c>
    </row>
    <row r="307" spans="1:7" x14ac:dyDescent="0.45">
      <c r="A307" s="9" t="s">
        <v>589</v>
      </c>
      <c r="B307" s="125">
        <v>21573452</v>
      </c>
      <c r="C307" s="125">
        <v>21711213</v>
      </c>
      <c r="D307" s="125">
        <v>23990010</v>
      </c>
      <c r="E307" s="125">
        <v>28680472</v>
      </c>
      <c r="F307" s="125">
        <v>33582827</v>
      </c>
      <c r="G307" s="125">
        <v>47410638</v>
      </c>
    </row>
    <row r="308" spans="1:7" x14ac:dyDescent="0.45">
      <c r="A308" s="9" t="s">
        <v>590</v>
      </c>
      <c r="B308" s="125">
        <v>21573452</v>
      </c>
      <c r="C308" s="125">
        <v>21711213</v>
      </c>
      <c r="D308" s="125">
        <v>23990010</v>
      </c>
      <c r="E308" s="125">
        <v>28680472</v>
      </c>
      <c r="F308" s="125">
        <v>33582827</v>
      </c>
      <c r="G308" s="125">
        <v>47410638</v>
      </c>
    </row>
    <row r="309" spans="1:7" x14ac:dyDescent="0.45">
      <c r="A309" s="9" t="s">
        <v>591</v>
      </c>
      <c r="B309" s="125">
        <v>3373101</v>
      </c>
      <c r="C309" s="125">
        <v>3753660</v>
      </c>
      <c r="D309" s="125">
        <v>4083579</v>
      </c>
      <c r="E309" s="125">
        <v>4071710</v>
      </c>
      <c r="F309" s="125">
        <v>4990403</v>
      </c>
      <c r="G309" s="125">
        <v>6431055</v>
      </c>
    </row>
    <row r="310" spans="1:7" x14ac:dyDescent="0.45">
      <c r="A310" s="9" t="s">
        <v>592</v>
      </c>
      <c r="B310" s="125">
        <v>740264</v>
      </c>
      <c r="C310" s="125">
        <v>887337</v>
      </c>
      <c r="D310" s="125">
        <v>1020755</v>
      </c>
      <c r="E310" s="125">
        <v>1182468</v>
      </c>
      <c r="F310" s="125">
        <v>1694458</v>
      </c>
      <c r="G310" s="125">
        <v>2060958</v>
      </c>
    </row>
    <row r="311" spans="1:7" x14ac:dyDescent="0.45">
      <c r="A311" s="9" t="s">
        <v>593</v>
      </c>
      <c r="B311" s="125">
        <v>2632837</v>
      </c>
      <c r="C311" s="125">
        <v>2866323</v>
      </c>
      <c r="D311" s="125">
        <v>3062824</v>
      </c>
      <c r="E311" s="125">
        <v>2889242</v>
      </c>
      <c r="F311" s="125">
        <v>3295945</v>
      </c>
      <c r="G311" s="125">
        <v>4370097</v>
      </c>
    </row>
    <row r="312" spans="1:7" x14ac:dyDescent="0.45">
      <c r="A312" s="9" t="s">
        <v>594</v>
      </c>
      <c r="B312" s="125">
        <v>17413553</v>
      </c>
      <c r="C312" s="125">
        <v>18028466</v>
      </c>
      <c r="D312" s="125">
        <v>20400661</v>
      </c>
      <c r="E312" s="125">
        <v>22432424</v>
      </c>
      <c r="F312" s="125">
        <v>29285609</v>
      </c>
      <c r="G312" s="125">
        <v>42550341</v>
      </c>
    </row>
    <row r="313" spans="1:7" x14ac:dyDescent="0.45">
      <c r="A313" s="9" t="s">
        <v>595</v>
      </c>
      <c r="B313" s="125">
        <v>4385861</v>
      </c>
      <c r="C313" s="125">
        <v>4524047</v>
      </c>
      <c r="D313" s="125">
        <v>4937681</v>
      </c>
      <c r="E313" s="125">
        <v>6159243</v>
      </c>
      <c r="F313" s="125">
        <v>8609994</v>
      </c>
      <c r="G313" s="125">
        <v>11441501</v>
      </c>
    </row>
    <row r="314" spans="1:7" x14ac:dyDescent="0.45">
      <c r="A314" s="9" t="s">
        <v>596</v>
      </c>
      <c r="B314" s="125">
        <v>3493603</v>
      </c>
      <c r="C314" s="125">
        <v>2860337</v>
      </c>
      <c r="D314" s="125">
        <v>3007754</v>
      </c>
      <c r="E314" s="125">
        <v>3303912</v>
      </c>
      <c r="F314" s="125">
        <v>3609930</v>
      </c>
      <c r="G314" s="125">
        <v>5140460</v>
      </c>
    </row>
    <row r="315" spans="1:7" x14ac:dyDescent="0.45">
      <c r="A315" s="9" t="s">
        <v>597</v>
      </c>
      <c r="B315" s="125">
        <v>9534089</v>
      </c>
      <c r="C315" s="125">
        <v>10644082</v>
      </c>
      <c r="D315" s="125">
        <v>12455226</v>
      </c>
      <c r="E315" s="125">
        <v>12969269</v>
      </c>
      <c r="F315" s="125">
        <v>17065685</v>
      </c>
      <c r="G315" s="125">
        <v>25968380</v>
      </c>
    </row>
    <row r="316" spans="1:7" x14ac:dyDescent="0.45">
      <c r="A316" s="9" t="s">
        <v>598</v>
      </c>
      <c r="B316" s="125">
        <v>1373168</v>
      </c>
      <c r="C316" s="125">
        <v>1160359</v>
      </c>
      <c r="D316" s="125">
        <v>1533964</v>
      </c>
      <c r="E316" s="125">
        <v>1749314</v>
      </c>
      <c r="F316" s="125">
        <v>2135143</v>
      </c>
      <c r="G316" s="125">
        <v>2537712</v>
      </c>
    </row>
    <row r="317" spans="1:7" x14ac:dyDescent="0.45">
      <c r="A317" s="9" t="s">
        <v>599</v>
      </c>
      <c r="B317" s="125">
        <v>1373168</v>
      </c>
      <c r="C317" s="125">
        <v>1160359</v>
      </c>
      <c r="D317" s="125">
        <v>1533964</v>
      </c>
      <c r="E317" s="125">
        <v>1749314</v>
      </c>
      <c r="F317" s="125">
        <v>2135143</v>
      </c>
      <c r="G317" s="125">
        <v>2537712</v>
      </c>
    </row>
    <row r="318" spans="1:7" x14ac:dyDescent="0.45">
      <c r="A318" s="9" t="s">
        <v>600</v>
      </c>
      <c r="B318" s="125">
        <v>18876119</v>
      </c>
      <c r="C318" s="125">
        <v>20182324</v>
      </c>
      <c r="D318" s="125">
        <v>20111792</v>
      </c>
      <c r="E318" s="125">
        <v>22992622</v>
      </c>
      <c r="F318" s="125">
        <v>23541656</v>
      </c>
      <c r="G318" s="125">
        <v>30199913</v>
      </c>
    </row>
    <row r="319" spans="1:7" x14ac:dyDescent="0.45">
      <c r="A319" s="9" t="s">
        <v>601</v>
      </c>
      <c r="B319" s="125">
        <v>14677646</v>
      </c>
      <c r="C319" s="125">
        <v>15943875</v>
      </c>
      <c r="D319" s="125">
        <v>15672072</v>
      </c>
      <c r="E319" s="125">
        <v>17794198</v>
      </c>
      <c r="F319" s="125">
        <v>17338902</v>
      </c>
      <c r="G319" s="125">
        <v>22295156</v>
      </c>
    </row>
    <row r="320" spans="1:7" x14ac:dyDescent="0.45">
      <c r="A320" s="9" t="s">
        <v>602</v>
      </c>
      <c r="B320" s="125">
        <v>4198473</v>
      </c>
      <c r="C320" s="125">
        <v>4238449</v>
      </c>
      <c r="D320" s="125">
        <v>4439720</v>
      </c>
      <c r="E320" s="125">
        <v>5198424</v>
      </c>
      <c r="F320" s="125">
        <v>6202754</v>
      </c>
      <c r="G320" s="125">
        <v>7904757</v>
      </c>
    </row>
    <row r="321" spans="1:7" x14ac:dyDescent="0.45">
      <c r="A321" s="9" t="s">
        <v>275</v>
      </c>
      <c r="B321" s="125">
        <v>2519777</v>
      </c>
      <c r="C321" s="125">
        <v>2678031</v>
      </c>
      <c r="D321" s="125">
        <v>3236796</v>
      </c>
      <c r="E321" s="125">
        <v>2794326</v>
      </c>
      <c r="F321" s="125">
        <v>2914943</v>
      </c>
      <c r="G321" s="125">
        <v>3948895</v>
      </c>
    </row>
    <row r="322" spans="1:7" x14ac:dyDescent="0.45">
      <c r="A322" s="9" t="s">
        <v>276</v>
      </c>
      <c r="B322" s="125">
        <v>2519777</v>
      </c>
      <c r="C322" s="125">
        <v>2678031</v>
      </c>
      <c r="D322" s="125">
        <v>3236796</v>
      </c>
      <c r="E322" s="125">
        <v>2794326</v>
      </c>
      <c r="F322" s="125">
        <v>2914943</v>
      </c>
      <c r="G322" s="125">
        <v>3948895</v>
      </c>
    </row>
    <row r="323" spans="1:7" x14ac:dyDescent="0.45">
      <c r="A323" s="9" t="s">
        <v>42</v>
      </c>
      <c r="B323" s="125">
        <v>92965874</v>
      </c>
      <c r="C323" s="125">
        <v>98051641</v>
      </c>
      <c r="D323" s="125">
        <v>115083057</v>
      </c>
      <c r="E323" s="125">
        <v>127931097</v>
      </c>
      <c r="F323" s="125">
        <v>141967323</v>
      </c>
      <c r="G323" s="125">
        <v>225244197</v>
      </c>
    </row>
    <row r="324" spans="1:7" x14ac:dyDescent="0.45">
      <c r="A324" s="9" t="s">
        <v>603</v>
      </c>
      <c r="B324" s="125">
        <v>19802442</v>
      </c>
      <c r="C324" s="125">
        <v>17528817</v>
      </c>
      <c r="D324" s="125">
        <v>17923307</v>
      </c>
      <c r="E324" s="125">
        <v>20552393</v>
      </c>
      <c r="F324" s="125">
        <v>23383204</v>
      </c>
      <c r="G324" s="125">
        <v>30383724</v>
      </c>
    </row>
    <row r="325" spans="1:7" x14ac:dyDescent="0.45">
      <c r="A325" s="9" t="s">
        <v>604</v>
      </c>
      <c r="B325" s="125">
        <v>5462503</v>
      </c>
      <c r="C325" s="125">
        <v>3251978</v>
      </c>
      <c r="D325" s="125">
        <v>1753091</v>
      </c>
      <c r="E325" s="125">
        <v>2352456</v>
      </c>
      <c r="F325" s="125">
        <v>2693693</v>
      </c>
      <c r="G325" s="125">
        <v>1757975</v>
      </c>
    </row>
    <row r="326" spans="1:7" x14ac:dyDescent="0.45">
      <c r="A326" s="9" t="s">
        <v>605</v>
      </c>
      <c r="B326" s="125">
        <v>5432267</v>
      </c>
      <c r="C326" s="125">
        <v>5026334</v>
      </c>
      <c r="D326" s="125">
        <v>5826327</v>
      </c>
      <c r="E326" s="125">
        <v>5575242</v>
      </c>
      <c r="F326" s="125">
        <v>6622556</v>
      </c>
      <c r="G326" s="125">
        <v>9329897</v>
      </c>
    </row>
    <row r="327" spans="1:7" x14ac:dyDescent="0.45">
      <c r="A327" s="9" t="s">
        <v>606</v>
      </c>
      <c r="B327" s="125">
        <v>3040876</v>
      </c>
      <c r="C327" s="125">
        <v>3265806</v>
      </c>
      <c r="D327" s="125">
        <v>3370370</v>
      </c>
      <c r="E327" s="125">
        <v>3843288</v>
      </c>
      <c r="F327" s="125">
        <v>4836233</v>
      </c>
      <c r="G327" s="125">
        <v>6280460</v>
      </c>
    </row>
    <row r="328" spans="1:7" x14ac:dyDescent="0.45">
      <c r="A328" s="9" t="s">
        <v>607</v>
      </c>
      <c r="B328" s="125">
        <v>3143405</v>
      </c>
      <c r="C328" s="125">
        <v>3229768</v>
      </c>
      <c r="D328" s="125">
        <v>3702764</v>
      </c>
      <c r="E328" s="125">
        <v>5640264</v>
      </c>
      <c r="F328" s="125">
        <v>5701591</v>
      </c>
      <c r="G328" s="125">
        <v>8181970</v>
      </c>
    </row>
    <row r="329" spans="1:7" x14ac:dyDescent="0.45">
      <c r="A329" s="9" t="s">
        <v>608</v>
      </c>
      <c r="B329" s="125">
        <v>2723391</v>
      </c>
      <c r="C329" s="125">
        <v>2754931</v>
      </c>
      <c r="D329" s="125">
        <v>3270755</v>
      </c>
      <c r="E329" s="125">
        <v>3141143</v>
      </c>
      <c r="F329" s="125">
        <v>3529131</v>
      </c>
      <c r="G329" s="125">
        <v>4833422</v>
      </c>
    </row>
    <row r="330" spans="1:7" x14ac:dyDescent="0.45">
      <c r="A330" s="9" t="s">
        <v>609</v>
      </c>
      <c r="B330" s="125">
        <v>23259402</v>
      </c>
      <c r="C330" s="125">
        <v>23017843</v>
      </c>
      <c r="D330" s="125">
        <v>28110006</v>
      </c>
      <c r="E330" s="125">
        <v>32795891</v>
      </c>
      <c r="F330" s="125">
        <v>35987245</v>
      </c>
      <c r="G330" s="125">
        <v>50433867</v>
      </c>
    </row>
    <row r="331" spans="1:7" x14ac:dyDescent="0.45">
      <c r="A331" s="9" t="s">
        <v>610</v>
      </c>
      <c r="B331" s="125">
        <v>1051629</v>
      </c>
      <c r="C331" s="125">
        <v>982902</v>
      </c>
      <c r="D331" s="125">
        <v>1183955</v>
      </c>
      <c r="E331" s="125">
        <v>1302414</v>
      </c>
      <c r="F331" s="125">
        <v>1277939</v>
      </c>
      <c r="G331" s="125">
        <v>1761074</v>
      </c>
    </row>
    <row r="332" spans="1:7" x14ac:dyDescent="0.45">
      <c r="A332" s="9" t="s">
        <v>278</v>
      </c>
      <c r="B332" s="125">
        <v>8569977</v>
      </c>
      <c r="C332" s="125">
        <v>7874782</v>
      </c>
      <c r="D332" s="125">
        <v>8702418</v>
      </c>
      <c r="E332" s="125">
        <v>9578922</v>
      </c>
      <c r="F332" s="125">
        <v>10295774</v>
      </c>
      <c r="G332" s="125">
        <v>14797637</v>
      </c>
    </row>
    <row r="333" spans="1:7" x14ac:dyDescent="0.45">
      <c r="A333" s="9" t="s">
        <v>611</v>
      </c>
      <c r="B333" s="125">
        <v>3979346</v>
      </c>
      <c r="C333" s="125">
        <v>4167795</v>
      </c>
      <c r="D333" s="125">
        <v>4706920</v>
      </c>
      <c r="E333" s="125">
        <v>5430918</v>
      </c>
      <c r="F333" s="125">
        <v>5163648</v>
      </c>
      <c r="G333" s="125">
        <v>7810127</v>
      </c>
    </row>
    <row r="334" spans="1:7" x14ac:dyDescent="0.45">
      <c r="A334" s="9" t="s">
        <v>612</v>
      </c>
      <c r="B334" s="125">
        <v>3051606</v>
      </c>
      <c r="C334" s="125">
        <v>3714002</v>
      </c>
      <c r="D334" s="125">
        <v>5113867</v>
      </c>
      <c r="E334" s="125">
        <v>6463995</v>
      </c>
      <c r="F334" s="125">
        <v>6469716</v>
      </c>
      <c r="G334" s="125">
        <v>11376187</v>
      </c>
    </row>
    <row r="335" spans="1:7" x14ac:dyDescent="0.45">
      <c r="A335" s="9" t="s">
        <v>613</v>
      </c>
      <c r="B335" s="125">
        <v>697736</v>
      </c>
      <c r="C335" s="125">
        <v>560077</v>
      </c>
      <c r="D335" s="125">
        <v>765663</v>
      </c>
      <c r="E335" s="125">
        <v>1005763</v>
      </c>
      <c r="F335" s="125">
        <v>1400428</v>
      </c>
      <c r="G335" s="125">
        <v>1284796</v>
      </c>
    </row>
    <row r="336" spans="1:7" x14ac:dyDescent="0.45">
      <c r="A336" s="9" t="s">
        <v>279</v>
      </c>
      <c r="B336" s="125">
        <v>5909108</v>
      </c>
      <c r="C336" s="125">
        <v>5718285</v>
      </c>
      <c r="D336" s="125">
        <v>7637183</v>
      </c>
      <c r="E336" s="125">
        <v>9013879</v>
      </c>
      <c r="F336" s="125">
        <v>11379740</v>
      </c>
      <c r="G336" s="125">
        <v>13404046</v>
      </c>
    </row>
    <row r="337" spans="1:7" x14ac:dyDescent="0.45">
      <c r="A337" s="9" t="s">
        <v>614</v>
      </c>
      <c r="B337" s="125">
        <v>23841842</v>
      </c>
      <c r="C337" s="125">
        <v>28485511</v>
      </c>
      <c r="D337" s="125">
        <v>33868971</v>
      </c>
      <c r="E337" s="125">
        <v>35125568</v>
      </c>
      <c r="F337" s="125">
        <v>38974746</v>
      </c>
      <c r="G337" s="125">
        <v>75873816</v>
      </c>
    </row>
    <row r="338" spans="1:7" x14ac:dyDescent="0.45">
      <c r="A338" s="9" t="s">
        <v>45</v>
      </c>
      <c r="B338" s="125">
        <v>4054979</v>
      </c>
      <c r="C338" s="125">
        <v>10851809</v>
      </c>
      <c r="D338" s="125">
        <v>4529285</v>
      </c>
      <c r="E338" s="125">
        <v>4062920</v>
      </c>
      <c r="F338" s="125">
        <v>4614047</v>
      </c>
      <c r="G338" s="125">
        <v>26240401</v>
      </c>
    </row>
    <row r="339" spans="1:7" x14ac:dyDescent="0.45">
      <c r="A339" s="9" t="s">
        <v>46</v>
      </c>
      <c r="B339" s="125">
        <v>1121251</v>
      </c>
      <c r="C339" s="125">
        <v>1279118</v>
      </c>
      <c r="D339" s="125">
        <v>1215586</v>
      </c>
      <c r="E339" s="125">
        <v>1419181</v>
      </c>
      <c r="F339" s="125">
        <v>1805595</v>
      </c>
      <c r="G339" s="125">
        <v>3282222</v>
      </c>
    </row>
    <row r="340" spans="1:7" x14ac:dyDescent="0.45">
      <c r="A340" s="9" t="s">
        <v>47</v>
      </c>
      <c r="B340" s="125">
        <v>18665612</v>
      </c>
      <c r="C340" s="125">
        <v>16354584</v>
      </c>
      <c r="D340" s="125">
        <v>28124100</v>
      </c>
      <c r="E340" s="125">
        <v>29643467</v>
      </c>
      <c r="F340" s="125">
        <v>32555104</v>
      </c>
      <c r="G340" s="125">
        <v>46351193</v>
      </c>
    </row>
    <row r="341" spans="1:7" x14ac:dyDescent="0.45">
      <c r="A341" s="9" t="s">
        <v>615</v>
      </c>
      <c r="B341" s="125">
        <v>4592989</v>
      </c>
      <c r="C341" s="125">
        <v>4903882</v>
      </c>
      <c r="D341" s="125">
        <v>5528154</v>
      </c>
      <c r="E341" s="125">
        <v>6717564</v>
      </c>
      <c r="F341" s="125">
        <v>7390741</v>
      </c>
      <c r="G341" s="125">
        <v>10473029</v>
      </c>
    </row>
    <row r="342" spans="1:7" x14ac:dyDescent="0.45">
      <c r="A342" s="9" t="s">
        <v>280</v>
      </c>
      <c r="B342" s="125">
        <v>4592989</v>
      </c>
      <c r="C342" s="125">
        <v>4903882</v>
      </c>
      <c r="D342" s="125">
        <v>5528154</v>
      </c>
      <c r="E342" s="125">
        <v>6717564</v>
      </c>
      <c r="F342" s="125">
        <v>7390741</v>
      </c>
      <c r="G342" s="125">
        <v>10473029</v>
      </c>
    </row>
    <row r="343" spans="1:7" x14ac:dyDescent="0.45">
      <c r="A343" s="9" t="s">
        <v>616</v>
      </c>
      <c r="B343" s="125">
        <v>12172320</v>
      </c>
      <c r="C343" s="125">
        <v>14657288</v>
      </c>
      <c r="D343" s="125">
        <v>18888561</v>
      </c>
      <c r="E343" s="125">
        <v>20797718</v>
      </c>
      <c r="F343" s="125">
        <v>22832123</v>
      </c>
      <c r="G343" s="125">
        <v>38039091</v>
      </c>
    </row>
    <row r="344" spans="1:7" x14ac:dyDescent="0.45">
      <c r="A344" s="9" t="s">
        <v>617</v>
      </c>
      <c r="B344" s="125">
        <v>3804321</v>
      </c>
      <c r="C344" s="125">
        <v>2814476</v>
      </c>
      <c r="D344" s="125">
        <v>2691090</v>
      </c>
      <c r="E344" s="125">
        <v>3224636</v>
      </c>
      <c r="F344" s="125">
        <v>3897413</v>
      </c>
      <c r="G344" s="125">
        <v>6017656</v>
      </c>
    </row>
    <row r="345" spans="1:7" x14ac:dyDescent="0.45">
      <c r="A345" s="9" t="s">
        <v>281</v>
      </c>
      <c r="B345" s="125">
        <v>1626854</v>
      </c>
      <c r="C345" s="125">
        <v>1661964</v>
      </c>
      <c r="D345" s="125">
        <v>2243980</v>
      </c>
      <c r="E345" s="125">
        <v>3248259</v>
      </c>
      <c r="F345" s="125">
        <v>3466489</v>
      </c>
      <c r="G345" s="125">
        <v>4783679</v>
      </c>
    </row>
    <row r="346" spans="1:7" x14ac:dyDescent="0.45">
      <c r="A346" s="9" t="s">
        <v>618</v>
      </c>
      <c r="B346" s="125">
        <v>176356</v>
      </c>
      <c r="C346" s="125">
        <v>197629</v>
      </c>
      <c r="D346" s="125">
        <v>199425</v>
      </c>
      <c r="E346" s="125">
        <v>269629</v>
      </c>
      <c r="F346" s="125">
        <v>616504</v>
      </c>
      <c r="G346" s="125">
        <v>392449</v>
      </c>
    </row>
    <row r="347" spans="1:7" x14ac:dyDescent="0.45">
      <c r="A347" s="9" t="s">
        <v>619</v>
      </c>
      <c r="B347" s="125">
        <v>6564789</v>
      </c>
      <c r="C347" s="125">
        <v>9983219</v>
      </c>
      <c r="D347" s="125">
        <v>13754066</v>
      </c>
      <c r="E347" s="125">
        <v>14055194</v>
      </c>
      <c r="F347" s="125">
        <v>14851717</v>
      </c>
      <c r="G347" s="125">
        <v>26845307</v>
      </c>
    </row>
    <row r="348" spans="1:7" x14ac:dyDescent="0.45">
      <c r="A348" s="9" t="s">
        <v>620</v>
      </c>
      <c r="B348" s="125">
        <v>9296879</v>
      </c>
      <c r="C348" s="125">
        <v>9458300</v>
      </c>
      <c r="D348" s="125">
        <v>10764058</v>
      </c>
      <c r="E348" s="125">
        <v>11941963</v>
      </c>
      <c r="F348" s="125">
        <v>13399264</v>
      </c>
      <c r="G348" s="125">
        <v>20040670</v>
      </c>
    </row>
    <row r="349" spans="1:7" x14ac:dyDescent="0.45">
      <c r="A349" s="9" t="s">
        <v>621</v>
      </c>
      <c r="B349" s="125">
        <v>313589</v>
      </c>
      <c r="C349" s="125">
        <v>370760</v>
      </c>
      <c r="D349" s="125">
        <v>328430</v>
      </c>
      <c r="E349" s="125">
        <v>361143</v>
      </c>
      <c r="F349" s="125">
        <v>379021</v>
      </c>
      <c r="G349" s="125">
        <v>569924</v>
      </c>
    </row>
    <row r="350" spans="1:7" x14ac:dyDescent="0.45">
      <c r="A350" s="9" t="s">
        <v>282</v>
      </c>
      <c r="B350" s="125">
        <v>3602913</v>
      </c>
      <c r="C350" s="125">
        <v>3454908</v>
      </c>
      <c r="D350" s="125">
        <v>4227116</v>
      </c>
      <c r="E350" s="125">
        <v>4527190</v>
      </c>
      <c r="F350" s="125">
        <v>4665633</v>
      </c>
      <c r="G350" s="125">
        <v>6407448</v>
      </c>
    </row>
    <row r="351" spans="1:7" x14ac:dyDescent="0.45">
      <c r="A351" s="9" t="s">
        <v>622</v>
      </c>
      <c r="B351" s="125">
        <v>247690</v>
      </c>
      <c r="C351" s="125">
        <v>268080</v>
      </c>
      <c r="D351" s="125">
        <v>384822</v>
      </c>
      <c r="E351" s="125">
        <v>383291</v>
      </c>
      <c r="F351" s="125">
        <v>205994</v>
      </c>
      <c r="G351" s="125">
        <v>515297</v>
      </c>
    </row>
    <row r="352" spans="1:7" x14ac:dyDescent="0.45">
      <c r="A352" s="9" t="s">
        <v>623</v>
      </c>
      <c r="B352" s="125">
        <v>297114</v>
      </c>
      <c r="C352" s="125">
        <v>299697</v>
      </c>
      <c r="D352" s="125">
        <v>358401</v>
      </c>
      <c r="E352" s="125">
        <v>339137</v>
      </c>
      <c r="F352" s="125">
        <v>304233</v>
      </c>
      <c r="G352" s="125">
        <v>456134</v>
      </c>
    </row>
    <row r="353" spans="1:7" x14ac:dyDescent="0.45">
      <c r="A353" s="9" t="s">
        <v>624</v>
      </c>
      <c r="B353" s="125">
        <v>1248818</v>
      </c>
      <c r="C353" s="125">
        <v>1432365</v>
      </c>
      <c r="D353" s="125">
        <v>1262268</v>
      </c>
      <c r="E353" s="125">
        <v>1325036</v>
      </c>
      <c r="F353" s="125">
        <v>2512630</v>
      </c>
      <c r="G353" s="125">
        <v>2755323</v>
      </c>
    </row>
    <row r="354" spans="1:7" x14ac:dyDescent="0.45">
      <c r="A354" s="9" t="s">
        <v>625</v>
      </c>
      <c r="B354" s="125">
        <v>231241</v>
      </c>
      <c r="C354" s="125">
        <v>236716</v>
      </c>
      <c r="D354" s="125">
        <v>276204</v>
      </c>
      <c r="E354" s="125">
        <v>445202</v>
      </c>
      <c r="F354" s="125">
        <v>556899</v>
      </c>
      <c r="G354" s="125">
        <v>816646</v>
      </c>
    </row>
    <row r="355" spans="1:7" x14ac:dyDescent="0.45">
      <c r="A355" s="9" t="s">
        <v>283</v>
      </c>
      <c r="B355" s="125">
        <v>3355514</v>
      </c>
      <c r="C355" s="125">
        <v>3395774</v>
      </c>
      <c r="D355" s="125">
        <v>3926817</v>
      </c>
      <c r="E355" s="125">
        <v>4560964</v>
      </c>
      <c r="F355" s="125">
        <v>4774854</v>
      </c>
      <c r="G355" s="125">
        <v>8519898</v>
      </c>
    </row>
    <row r="356" spans="1:7" x14ac:dyDescent="0.45">
      <c r="A356" s="9" t="s">
        <v>249</v>
      </c>
      <c r="B356" s="125">
        <v>207982730</v>
      </c>
      <c r="C356" s="125">
        <v>248584819</v>
      </c>
      <c r="D356" s="125">
        <v>288359046</v>
      </c>
      <c r="E356" s="125">
        <v>308330837</v>
      </c>
      <c r="F356" s="125">
        <v>260867139</v>
      </c>
      <c r="G356" s="125">
        <v>382665231</v>
      </c>
    </row>
    <row r="357" spans="1:7" x14ac:dyDescent="0.45">
      <c r="A357" s="9" t="s">
        <v>250</v>
      </c>
      <c r="B357" s="125">
        <v>104247443</v>
      </c>
      <c r="C357" s="125">
        <v>127106875</v>
      </c>
      <c r="D357" s="125">
        <v>140670989</v>
      </c>
      <c r="E357" s="125">
        <v>142600544</v>
      </c>
      <c r="F357" s="125">
        <v>118399340</v>
      </c>
      <c r="G357" s="125">
        <v>154561715</v>
      </c>
    </row>
    <row r="358" spans="1:7" x14ac:dyDescent="0.45">
      <c r="A358" s="9" t="s">
        <v>251</v>
      </c>
      <c r="B358" s="125">
        <v>104247443</v>
      </c>
      <c r="C358" s="125">
        <v>127106875</v>
      </c>
      <c r="D358" s="125">
        <v>140670989</v>
      </c>
      <c r="E358" s="125">
        <v>142600544</v>
      </c>
      <c r="F358" s="125">
        <v>118399340</v>
      </c>
      <c r="G358" s="125">
        <v>154561715</v>
      </c>
    </row>
    <row r="359" spans="1:7" x14ac:dyDescent="0.45">
      <c r="A359" s="9" t="s">
        <v>252</v>
      </c>
      <c r="B359" s="125">
        <v>21900616</v>
      </c>
      <c r="C359" s="125">
        <v>25791077</v>
      </c>
      <c r="D359" s="125">
        <v>36243498</v>
      </c>
      <c r="E359" s="125">
        <v>42354545</v>
      </c>
      <c r="F359" s="125">
        <v>36091340</v>
      </c>
      <c r="G359" s="125">
        <v>66358972</v>
      </c>
    </row>
    <row r="360" spans="1:7" x14ac:dyDescent="0.45">
      <c r="A360" s="9" t="s">
        <v>626</v>
      </c>
      <c r="B360" s="125">
        <v>21900616</v>
      </c>
      <c r="C360" s="125">
        <v>25791077</v>
      </c>
      <c r="D360" s="125">
        <v>36243498</v>
      </c>
      <c r="E360" s="125">
        <v>42354545</v>
      </c>
      <c r="F360" s="125">
        <v>36091340</v>
      </c>
      <c r="G360" s="125">
        <v>66358972</v>
      </c>
    </row>
    <row r="361" spans="1:7" x14ac:dyDescent="0.45">
      <c r="A361" s="9" t="s">
        <v>627</v>
      </c>
      <c r="B361" s="125">
        <v>8201440</v>
      </c>
      <c r="C361" s="125">
        <v>8591637</v>
      </c>
      <c r="D361" s="125">
        <v>13373621</v>
      </c>
      <c r="E361" s="125">
        <v>17634688</v>
      </c>
      <c r="F361" s="125">
        <v>15403624</v>
      </c>
      <c r="G361" s="125">
        <v>20470796</v>
      </c>
    </row>
    <row r="362" spans="1:7" x14ac:dyDescent="0.45">
      <c r="A362" s="9" t="s">
        <v>628</v>
      </c>
      <c r="B362" s="125">
        <v>8201440</v>
      </c>
      <c r="C362" s="125">
        <v>8591637</v>
      </c>
      <c r="D362" s="125">
        <v>13373621</v>
      </c>
      <c r="E362" s="125">
        <v>17634688</v>
      </c>
      <c r="F362" s="125">
        <v>15403624</v>
      </c>
      <c r="G362" s="125">
        <v>20470796</v>
      </c>
    </row>
    <row r="363" spans="1:7" x14ac:dyDescent="0.45">
      <c r="A363" s="9" t="s">
        <v>253</v>
      </c>
      <c r="B363" s="125">
        <v>73471777</v>
      </c>
      <c r="C363" s="125">
        <v>86955263</v>
      </c>
      <c r="D363" s="125">
        <v>97951373</v>
      </c>
      <c r="E363" s="125">
        <v>105623195</v>
      </c>
      <c r="F363" s="125">
        <v>90839706</v>
      </c>
      <c r="G363" s="125">
        <v>141111898</v>
      </c>
    </row>
    <row r="364" spans="1:7" x14ac:dyDescent="0.45">
      <c r="A364" s="9" t="s">
        <v>629</v>
      </c>
      <c r="B364" s="125">
        <v>11639326</v>
      </c>
      <c r="C364" s="125">
        <v>13360128</v>
      </c>
      <c r="D364" s="125">
        <v>14541092</v>
      </c>
      <c r="E364" s="125">
        <v>17089706</v>
      </c>
      <c r="F364" s="125">
        <v>21020046</v>
      </c>
      <c r="G364" s="125">
        <v>28402275</v>
      </c>
    </row>
    <row r="365" spans="1:7" x14ac:dyDescent="0.45">
      <c r="A365" s="9" t="s">
        <v>630</v>
      </c>
      <c r="B365" s="125">
        <v>6910503</v>
      </c>
      <c r="C365" s="125">
        <v>8752647</v>
      </c>
      <c r="D365" s="125">
        <v>10269951</v>
      </c>
      <c r="E365" s="125">
        <v>10299522</v>
      </c>
      <c r="F365" s="125">
        <v>8612664</v>
      </c>
      <c r="G365" s="125">
        <v>14058150</v>
      </c>
    </row>
    <row r="366" spans="1:7" x14ac:dyDescent="0.45">
      <c r="A366" s="9" t="s">
        <v>631</v>
      </c>
      <c r="B366" s="125">
        <v>4343193</v>
      </c>
      <c r="C366" s="125">
        <v>5033567</v>
      </c>
      <c r="D366" s="125">
        <v>6254736</v>
      </c>
      <c r="E366" s="125">
        <v>5157970</v>
      </c>
      <c r="F366" s="125">
        <v>5342775</v>
      </c>
      <c r="G366" s="125">
        <v>9432414</v>
      </c>
    </row>
    <row r="367" spans="1:7" x14ac:dyDescent="0.45">
      <c r="A367" s="9" t="s">
        <v>632</v>
      </c>
      <c r="B367" s="125">
        <v>6922937</v>
      </c>
      <c r="C367" s="125">
        <v>8657342</v>
      </c>
      <c r="D367" s="125">
        <v>10090380</v>
      </c>
      <c r="E367" s="125">
        <v>11315832</v>
      </c>
      <c r="F367" s="125">
        <v>10199739</v>
      </c>
      <c r="G367" s="125">
        <v>18038522</v>
      </c>
    </row>
    <row r="368" spans="1:7" x14ac:dyDescent="0.45">
      <c r="A368" s="9" t="s">
        <v>277</v>
      </c>
      <c r="B368" s="125">
        <v>14198463</v>
      </c>
      <c r="C368" s="125">
        <v>14974446</v>
      </c>
      <c r="D368" s="125">
        <v>16072821</v>
      </c>
      <c r="E368" s="125">
        <v>15662516</v>
      </c>
      <c r="F368" s="125">
        <v>9968872</v>
      </c>
      <c r="G368" s="125">
        <v>14735759</v>
      </c>
    </row>
    <row r="369" spans="1:7" x14ac:dyDescent="0.45">
      <c r="A369" s="9" t="s">
        <v>633</v>
      </c>
      <c r="B369" s="125">
        <v>29457355</v>
      </c>
      <c r="C369" s="125">
        <v>36177133</v>
      </c>
      <c r="D369" s="125">
        <v>40722393</v>
      </c>
      <c r="E369" s="125">
        <v>46097649</v>
      </c>
      <c r="F369" s="125">
        <v>35695610</v>
      </c>
      <c r="G369" s="125">
        <v>56444778</v>
      </c>
    </row>
    <row r="370" spans="1:7" x14ac:dyDescent="0.45">
      <c r="A370" s="9" t="s">
        <v>254</v>
      </c>
      <c r="B370" s="125">
        <v>161454</v>
      </c>
      <c r="C370" s="125">
        <v>139967</v>
      </c>
      <c r="D370" s="125">
        <v>119565</v>
      </c>
      <c r="E370" s="125">
        <v>117865</v>
      </c>
      <c r="F370" s="125">
        <v>133129</v>
      </c>
      <c r="G370" s="125">
        <v>161850</v>
      </c>
    </row>
    <row r="371" spans="1:7" x14ac:dyDescent="0.45">
      <c r="A371" s="9" t="s">
        <v>634</v>
      </c>
      <c r="B371" s="125">
        <v>161454</v>
      </c>
      <c r="C371" s="125">
        <v>139967</v>
      </c>
      <c r="D371" s="125">
        <v>119565</v>
      </c>
      <c r="E371" s="125">
        <v>117865</v>
      </c>
      <c r="F371" s="125">
        <v>133129</v>
      </c>
      <c r="G371" s="125">
        <v>161850</v>
      </c>
    </row>
    <row r="372" spans="1:7" x14ac:dyDescent="0.45">
      <c r="A372" s="9" t="s">
        <v>255</v>
      </c>
      <c r="B372" s="125">
        <v>44978379</v>
      </c>
      <c r="C372" s="125">
        <v>39659061</v>
      </c>
      <c r="D372" s="125">
        <v>39577934</v>
      </c>
      <c r="E372" s="125">
        <v>40893860</v>
      </c>
      <c r="F372" s="125">
        <v>39942471</v>
      </c>
      <c r="G372" s="125">
        <v>48283439</v>
      </c>
    </row>
    <row r="373" spans="1:7" x14ac:dyDescent="0.45">
      <c r="A373" s="9" t="s">
        <v>256</v>
      </c>
      <c r="B373" s="125">
        <v>9240677</v>
      </c>
      <c r="C373" s="125">
        <v>7315407</v>
      </c>
      <c r="D373" s="125">
        <v>6111770</v>
      </c>
      <c r="E373" s="125">
        <v>4555176</v>
      </c>
      <c r="F373" s="125">
        <v>3999388</v>
      </c>
      <c r="G373" s="125">
        <v>5751542</v>
      </c>
    </row>
    <row r="374" spans="1:7" x14ac:dyDescent="0.45">
      <c r="A374" s="9" t="s">
        <v>635</v>
      </c>
      <c r="B374" s="125">
        <v>8867786</v>
      </c>
      <c r="C374" s="125">
        <v>6873849</v>
      </c>
      <c r="D374" s="125">
        <v>5432003</v>
      </c>
      <c r="E374" s="125">
        <v>3868193</v>
      </c>
      <c r="F374" s="125">
        <v>3302193</v>
      </c>
      <c r="G374" s="125">
        <v>4602637</v>
      </c>
    </row>
    <row r="375" spans="1:7" x14ac:dyDescent="0.45">
      <c r="A375" s="9" t="s">
        <v>636</v>
      </c>
      <c r="B375" s="125">
        <v>372891</v>
      </c>
      <c r="C375" s="125">
        <v>441558</v>
      </c>
      <c r="D375" s="125">
        <v>679767</v>
      </c>
      <c r="E375" s="125">
        <v>686983</v>
      </c>
      <c r="F375" s="125">
        <v>697195</v>
      </c>
      <c r="G375" s="125">
        <v>1148905</v>
      </c>
    </row>
    <row r="376" spans="1:7" x14ac:dyDescent="0.45">
      <c r="A376" s="9" t="s">
        <v>257</v>
      </c>
      <c r="B376" s="125">
        <v>5467314</v>
      </c>
      <c r="C376" s="125">
        <v>4133070</v>
      </c>
      <c r="D376" s="125" t="s">
        <v>34</v>
      </c>
      <c r="E376" s="125" t="s">
        <v>34</v>
      </c>
      <c r="F376" s="125" t="s">
        <v>34</v>
      </c>
      <c r="G376" s="125" t="s">
        <v>34</v>
      </c>
    </row>
    <row r="377" spans="1:7" x14ac:dyDescent="0.45">
      <c r="A377" s="9" t="s">
        <v>258</v>
      </c>
      <c r="B377" s="125">
        <v>4432943</v>
      </c>
      <c r="C377" s="125">
        <v>2518518</v>
      </c>
      <c r="D377" s="125" t="s">
        <v>34</v>
      </c>
      <c r="E377" s="125" t="s">
        <v>34</v>
      </c>
      <c r="F377" s="125" t="s">
        <v>34</v>
      </c>
      <c r="G377" s="125" t="s">
        <v>34</v>
      </c>
    </row>
    <row r="378" spans="1:7" x14ac:dyDescent="0.45">
      <c r="A378" s="9" t="s">
        <v>259</v>
      </c>
      <c r="B378" s="125">
        <v>1034371</v>
      </c>
      <c r="C378" s="125">
        <v>1614552</v>
      </c>
      <c r="D378" s="125">
        <v>1368009</v>
      </c>
      <c r="E378" s="125">
        <v>1288638</v>
      </c>
      <c r="F378" s="125">
        <v>1024413</v>
      </c>
      <c r="G378" s="125">
        <v>1429568</v>
      </c>
    </row>
    <row r="379" spans="1:7" x14ac:dyDescent="0.45">
      <c r="A379" s="9" t="s">
        <v>260</v>
      </c>
      <c r="B379" s="125" t="s">
        <v>34</v>
      </c>
      <c r="C379" s="125" t="s">
        <v>34</v>
      </c>
      <c r="D379" s="125">
        <v>15801196</v>
      </c>
      <c r="E379" s="125">
        <v>16542413</v>
      </c>
      <c r="F379" s="125">
        <v>16536147</v>
      </c>
      <c r="G379" s="125">
        <v>16805557</v>
      </c>
    </row>
    <row r="380" spans="1:7" x14ac:dyDescent="0.45">
      <c r="A380" s="9" t="s">
        <v>261</v>
      </c>
      <c r="B380" s="125" t="s">
        <v>34</v>
      </c>
      <c r="C380" s="125" t="s">
        <v>34</v>
      </c>
      <c r="D380" s="125">
        <v>14613044</v>
      </c>
      <c r="E380" s="125">
        <v>15224345</v>
      </c>
      <c r="F380" s="125">
        <v>15399126</v>
      </c>
      <c r="G380" s="125">
        <v>15739276</v>
      </c>
    </row>
    <row r="381" spans="1:7" x14ac:dyDescent="0.45">
      <c r="A381" s="9" t="s">
        <v>262</v>
      </c>
      <c r="B381" s="125">
        <v>973794</v>
      </c>
      <c r="C381" s="125">
        <v>1152949</v>
      </c>
      <c r="D381" s="125">
        <v>1188152</v>
      </c>
      <c r="E381" s="125">
        <v>1318068</v>
      </c>
      <c r="F381" s="125">
        <v>1137021</v>
      </c>
      <c r="G381" s="125">
        <v>1066281</v>
      </c>
    </row>
    <row r="382" spans="1:7" x14ac:dyDescent="0.45">
      <c r="A382" s="9" t="s">
        <v>637</v>
      </c>
      <c r="B382" s="125" t="s">
        <v>34</v>
      </c>
      <c r="C382" s="125" t="s">
        <v>34</v>
      </c>
      <c r="D382" s="125" t="s">
        <v>34</v>
      </c>
      <c r="E382" s="125" t="s">
        <v>34</v>
      </c>
      <c r="F382" s="125" t="s">
        <v>34</v>
      </c>
      <c r="G382" s="125" t="s">
        <v>34</v>
      </c>
    </row>
    <row r="383" spans="1:7" x14ac:dyDescent="0.45">
      <c r="A383" s="9" t="s">
        <v>638</v>
      </c>
      <c r="B383" s="125" t="s">
        <v>34</v>
      </c>
      <c r="C383" s="125" t="s">
        <v>34</v>
      </c>
      <c r="D383" s="125" t="s">
        <v>34</v>
      </c>
      <c r="E383" s="125" t="s">
        <v>34</v>
      </c>
      <c r="F383" s="125" t="s">
        <v>34</v>
      </c>
      <c r="G383" s="125" t="s">
        <v>34</v>
      </c>
    </row>
    <row r="384" spans="1:7" x14ac:dyDescent="0.45">
      <c r="A384" s="9" t="s">
        <v>263</v>
      </c>
      <c r="B384" s="125">
        <v>11056759</v>
      </c>
      <c r="C384" s="125">
        <v>11731256</v>
      </c>
      <c r="D384" s="125">
        <v>13975546</v>
      </c>
      <c r="E384" s="125">
        <v>16110665</v>
      </c>
      <c r="F384" s="125">
        <v>15823187</v>
      </c>
      <c r="G384" s="125">
        <v>21661179</v>
      </c>
    </row>
    <row r="385" spans="1:7" x14ac:dyDescent="0.45">
      <c r="A385" s="9" t="s">
        <v>264</v>
      </c>
      <c r="B385" s="125">
        <v>9564248</v>
      </c>
      <c r="C385" s="125">
        <v>9986412</v>
      </c>
      <c r="D385" s="125">
        <v>11946981</v>
      </c>
      <c r="E385" s="125">
        <v>13704462</v>
      </c>
      <c r="F385" s="125">
        <v>12997290</v>
      </c>
      <c r="G385" s="125">
        <v>17751399</v>
      </c>
    </row>
    <row r="386" spans="1:7" x14ac:dyDescent="0.45">
      <c r="A386" s="9" t="s">
        <v>265</v>
      </c>
      <c r="B386" s="125">
        <v>1209107</v>
      </c>
      <c r="C386" s="125">
        <v>1396777</v>
      </c>
      <c r="D386" s="125">
        <v>1646894</v>
      </c>
      <c r="E386" s="125">
        <v>2019157</v>
      </c>
      <c r="F386" s="125">
        <v>2131064</v>
      </c>
      <c r="G386" s="125">
        <v>3010989</v>
      </c>
    </row>
    <row r="387" spans="1:7" x14ac:dyDescent="0.45">
      <c r="A387" s="9" t="s">
        <v>266</v>
      </c>
      <c r="B387" s="125">
        <v>283404</v>
      </c>
      <c r="C387" s="125">
        <v>348067</v>
      </c>
      <c r="D387" s="125">
        <v>381671</v>
      </c>
      <c r="E387" s="125">
        <v>387046</v>
      </c>
      <c r="F387" s="125">
        <v>694833</v>
      </c>
      <c r="G387" s="125">
        <v>898791</v>
      </c>
    </row>
    <row r="388" spans="1:7" x14ac:dyDescent="0.45">
      <c r="A388" s="9" t="s">
        <v>639</v>
      </c>
      <c r="B388" s="125">
        <v>22776661</v>
      </c>
      <c r="C388" s="125">
        <v>24163740</v>
      </c>
      <c r="D388" s="125">
        <v>27054216</v>
      </c>
      <c r="E388" s="125">
        <v>28759153</v>
      </c>
      <c r="F388" s="125">
        <v>32229017</v>
      </c>
      <c r="G388" s="125">
        <v>41037865</v>
      </c>
    </row>
    <row r="389" spans="1:7" x14ac:dyDescent="0.45">
      <c r="A389" s="9" t="s">
        <v>640</v>
      </c>
      <c r="B389" s="125">
        <v>22776661</v>
      </c>
      <c r="C389" s="125">
        <v>24163740</v>
      </c>
      <c r="D389" s="125">
        <v>27054216</v>
      </c>
      <c r="E389" s="125">
        <v>28759153</v>
      </c>
      <c r="F389" s="125">
        <v>32229017</v>
      </c>
      <c r="G389" s="125">
        <v>41037865</v>
      </c>
    </row>
    <row r="390" spans="1:7" x14ac:dyDescent="0.45">
      <c r="A390" s="9" t="s">
        <v>641</v>
      </c>
      <c r="B390" s="125">
        <v>13310153</v>
      </c>
      <c r="C390" s="125">
        <v>13661973</v>
      </c>
      <c r="D390" s="125">
        <v>15160889</v>
      </c>
      <c r="E390" s="125">
        <v>16248438</v>
      </c>
      <c r="F390" s="125">
        <v>18079780</v>
      </c>
      <c r="G390" s="125">
        <v>24934414</v>
      </c>
    </row>
    <row r="391" spans="1:7" x14ac:dyDescent="0.45">
      <c r="A391" s="9" t="s">
        <v>642</v>
      </c>
      <c r="B391" s="125">
        <v>3965222</v>
      </c>
      <c r="C391" s="125">
        <v>4305898</v>
      </c>
      <c r="D391" s="125">
        <v>4925098</v>
      </c>
      <c r="E391" s="125">
        <v>4898981</v>
      </c>
      <c r="F391" s="125">
        <v>5492396</v>
      </c>
      <c r="G391" s="125">
        <v>6368594</v>
      </c>
    </row>
    <row r="392" spans="1:7" x14ac:dyDescent="0.45">
      <c r="A392" s="9" t="s">
        <v>643</v>
      </c>
      <c r="B392" s="125">
        <v>672011</v>
      </c>
      <c r="C392" s="125">
        <v>800253</v>
      </c>
      <c r="D392" s="125">
        <v>760621</v>
      </c>
      <c r="E392" s="125">
        <v>925028</v>
      </c>
      <c r="F392" s="125">
        <v>997500</v>
      </c>
      <c r="G392" s="125">
        <v>1245386</v>
      </c>
    </row>
    <row r="393" spans="1:7" x14ac:dyDescent="0.45">
      <c r="A393" s="9" t="s">
        <v>644</v>
      </c>
      <c r="B393" s="125">
        <v>4829275</v>
      </c>
      <c r="C393" s="125">
        <v>5395616</v>
      </c>
      <c r="D393" s="125">
        <v>6207608</v>
      </c>
      <c r="E393" s="125">
        <v>6686706</v>
      </c>
      <c r="F393" s="125">
        <v>7659341</v>
      </c>
      <c r="G393" s="125">
        <v>8489471</v>
      </c>
    </row>
    <row r="394" spans="1:7" x14ac:dyDescent="0.45">
      <c r="A394" s="9" t="s">
        <v>645</v>
      </c>
      <c r="B394" s="125">
        <v>19300545</v>
      </c>
      <c r="C394" s="125">
        <v>19969086</v>
      </c>
      <c r="D394" s="125">
        <v>21979922</v>
      </c>
      <c r="E394" s="125">
        <v>23139270</v>
      </c>
      <c r="F394" s="125">
        <v>26005316</v>
      </c>
      <c r="G394" s="125">
        <v>33156412</v>
      </c>
    </row>
    <row r="395" spans="1:7" x14ac:dyDescent="0.45">
      <c r="A395" s="9" t="s">
        <v>646</v>
      </c>
      <c r="B395" s="125">
        <v>1786553</v>
      </c>
      <c r="C395" s="125">
        <v>1760448</v>
      </c>
      <c r="D395" s="125">
        <v>1544846</v>
      </c>
      <c r="E395" s="125">
        <v>1789328</v>
      </c>
      <c r="F395" s="125">
        <v>1452769</v>
      </c>
      <c r="G395" s="125">
        <v>2015353</v>
      </c>
    </row>
    <row r="396" spans="1:7" x14ac:dyDescent="0.45">
      <c r="A396" s="9" t="s">
        <v>647</v>
      </c>
      <c r="B396" s="125">
        <v>1616928</v>
      </c>
      <c r="C396" s="125">
        <v>1565983</v>
      </c>
      <c r="D396" s="125">
        <v>1334984</v>
      </c>
      <c r="E396" s="125">
        <v>1584182</v>
      </c>
      <c r="F396" s="125">
        <v>1269489</v>
      </c>
      <c r="G396" s="125">
        <v>1799814</v>
      </c>
    </row>
    <row r="397" spans="1:7" x14ac:dyDescent="0.45">
      <c r="A397" s="9" t="s">
        <v>648</v>
      </c>
      <c r="B397" s="125">
        <v>169625</v>
      </c>
      <c r="C397" s="125">
        <v>194465</v>
      </c>
      <c r="D397" s="125">
        <v>209862</v>
      </c>
      <c r="E397" s="125">
        <v>205146</v>
      </c>
      <c r="F397" s="125">
        <v>183280</v>
      </c>
      <c r="G397" s="125">
        <v>215539</v>
      </c>
    </row>
    <row r="398" spans="1:7" x14ac:dyDescent="0.45">
      <c r="A398" s="9" t="s">
        <v>649</v>
      </c>
      <c r="B398" s="125">
        <v>90487</v>
      </c>
      <c r="C398" s="125">
        <v>97703</v>
      </c>
      <c r="D398" s="125">
        <v>111949</v>
      </c>
      <c r="E398" s="125">
        <v>124209</v>
      </c>
      <c r="F398" s="125">
        <v>152104</v>
      </c>
      <c r="G398" s="125">
        <v>138390</v>
      </c>
    </row>
    <row r="399" spans="1:7" x14ac:dyDescent="0.45">
      <c r="A399" s="9" t="s">
        <v>650</v>
      </c>
      <c r="B399" s="125">
        <v>90487</v>
      </c>
      <c r="C399" s="125">
        <v>97703</v>
      </c>
      <c r="D399" s="125">
        <v>111949</v>
      </c>
      <c r="E399" s="125">
        <v>124209</v>
      </c>
      <c r="F399" s="125">
        <v>152104</v>
      </c>
      <c r="G399" s="125">
        <v>138390</v>
      </c>
    </row>
    <row r="400" spans="1:7" x14ac:dyDescent="0.45">
      <c r="A400" s="9" t="s">
        <v>651</v>
      </c>
      <c r="B400" s="125">
        <v>540212</v>
      </c>
      <c r="C400" s="125">
        <v>492940</v>
      </c>
      <c r="D400" s="125">
        <v>446596</v>
      </c>
      <c r="E400" s="125">
        <v>391191</v>
      </c>
      <c r="F400" s="125">
        <v>689121</v>
      </c>
      <c r="G400" s="125">
        <v>856096</v>
      </c>
    </row>
    <row r="401" spans="1:7" x14ac:dyDescent="0.45">
      <c r="A401" s="9" t="s">
        <v>652</v>
      </c>
      <c r="B401" s="125">
        <v>540212</v>
      </c>
      <c r="C401" s="125">
        <v>492940</v>
      </c>
      <c r="D401" s="125">
        <v>446596</v>
      </c>
      <c r="E401" s="125">
        <v>391191</v>
      </c>
      <c r="F401" s="125">
        <v>689121</v>
      </c>
      <c r="G401" s="125">
        <v>856096</v>
      </c>
    </row>
    <row r="402" spans="1:7" x14ac:dyDescent="0.45">
      <c r="A402" s="9" t="s">
        <v>653</v>
      </c>
      <c r="B402" s="125">
        <v>1523076</v>
      </c>
      <c r="C402" s="125">
        <v>1630488</v>
      </c>
      <c r="D402" s="125">
        <v>1659642</v>
      </c>
      <c r="E402" s="125">
        <v>1835042</v>
      </c>
      <c r="F402" s="125">
        <v>1989744</v>
      </c>
      <c r="G402" s="125">
        <v>2623059</v>
      </c>
    </row>
    <row r="403" spans="1:7" x14ac:dyDescent="0.45">
      <c r="A403" s="9" t="s">
        <v>654</v>
      </c>
      <c r="B403" s="125">
        <v>1523076</v>
      </c>
      <c r="C403" s="125">
        <v>1630488</v>
      </c>
      <c r="D403" s="125">
        <v>1659642</v>
      </c>
      <c r="E403" s="125">
        <v>1835042</v>
      </c>
      <c r="F403" s="125">
        <v>1989744</v>
      </c>
      <c r="G403" s="125">
        <v>2623059</v>
      </c>
    </row>
    <row r="404" spans="1:7" x14ac:dyDescent="0.45">
      <c r="A404" s="9" t="s">
        <v>655</v>
      </c>
      <c r="B404" s="125">
        <v>8317392</v>
      </c>
      <c r="C404" s="125">
        <v>8936395</v>
      </c>
      <c r="D404" s="125">
        <v>10309747</v>
      </c>
      <c r="E404" s="125">
        <v>10837210</v>
      </c>
      <c r="F404" s="125">
        <v>12595629</v>
      </c>
      <c r="G404" s="125">
        <v>15721092</v>
      </c>
    </row>
    <row r="405" spans="1:7" x14ac:dyDescent="0.45">
      <c r="A405" s="9" t="s">
        <v>656</v>
      </c>
      <c r="B405" s="125">
        <v>8317392</v>
      </c>
      <c r="C405" s="125">
        <v>8936395</v>
      </c>
      <c r="D405" s="125">
        <v>10309747</v>
      </c>
      <c r="E405" s="125">
        <v>10837210</v>
      </c>
      <c r="F405" s="125">
        <v>12595629</v>
      </c>
      <c r="G405" s="125">
        <v>15721092</v>
      </c>
    </row>
    <row r="406" spans="1:7" x14ac:dyDescent="0.45">
      <c r="A406" s="9" t="s">
        <v>657</v>
      </c>
      <c r="B406" s="125">
        <v>7042825</v>
      </c>
      <c r="C406" s="125">
        <v>7051112</v>
      </c>
      <c r="D406" s="125">
        <v>7907142</v>
      </c>
      <c r="E406" s="125">
        <v>8162290</v>
      </c>
      <c r="F406" s="125">
        <v>9125949</v>
      </c>
      <c r="G406" s="125">
        <v>11802422</v>
      </c>
    </row>
    <row r="407" spans="1:7" x14ac:dyDescent="0.45">
      <c r="A407" s="9" t="s">
        <v>658</v>
      </c>
      <c r="B407" s="125">
        <v>1384956</v>
      </c>
      <c r="C407" s="125">
        <v>1390415</v>
      </c>
      <c r="D407" s="125">
        <v>1642436</v>
      </c>
      <c r="E407" s="125">
        <v>1850125</v>
      </c>
      <c r="F407" s="125">
        <v>2235938</v>
      </c>
      <c r="G407" s="125">
        <v>2561961</v>
      </c>
    </row>
    <row r="408" spans="1:7" x14ac:dyDescent="0.45">
      <c r="A408" s="9" t="s">
        <v>659</v>
      </c>
      <c r="B408" s="125">
        <v>1364333</v>
      </c>
      <c r="C408" s="125">
        <v>1534593</v>
      </c>
      <c r="D408" s="125">
        <v>1536438</v>
      </c>
      <c r="E408" s="125">
        <v>1553067</v>
      </c>
      <c r="F408" s="125">
        <v>2361789</v>
      </c>
      <c r="G408" s="125">
        <v>3364615</v>
      </c>
    </row>
    <row r="409" spans="1:7" x14ac:dyDescent="0.45">
      <c r="A409" s="9" t="s">
        <v>660</v>
      </c>
      <c r="B409" s="125">
        <v>4293536</v>
      </c>
      <c r="C409" s="125">
        <v>4126104</v>
      </c>
      <c r="D409" s="125">
        <v>4728268</v>
      </c>
      <c r="E409" s="125">
        <v>4759098</v>
      </c>
      <c r="F409" s="125">
        <v>4528222</v>
      </c>
      <c r="G409" s="125">
        <v>5875846</v>
      </c>
    </row>
    <row r="410" spans="1:7" x14ac:dyDescent="0.45">
      <c r="A410" s="9" t="s">
        <v>661</v>
      </c>
      <c r="B410" s="125">
        <v>23026333</v>
      </c>
      <c r="C410" s="125">
        <v>24276149</v>
      </c>
      <c r="D410" s="125">
        <v>25761535</v>
      </c>
      <c r="E410" s="125">
        <v>23242720</v>
      </c>
      <c r="F410" s="125">
        <v>26755249</v>
      </c>
      <c r="G410" s="125">
        <v>29575008</v>
      </c>
    </row>
    <row r="411" spans="1:7" x14ac:dyDescent="0.45">
      <c r="A411" s="9" t="s">
        <v>662</v>
      </c>
      <c r="B411" s="125">
        <v>20981654</v>
      </c>
      <c r="C411" s="125">
        <v>22825638</v>
      </c>
      <c r="D411" s="125">
        <v>24841047</v>
      </c>
      <c r="E411" s="125">
        <v>21980269</v>
      </c>
      <c r="F411" s="125">
        <v>25265608</v>
      </c>
      <c r="G411" s="125">
        <v>27360677</v>
      </c>
    </row>
    <row r="412" spans="1:7" x14ac:dyDescent="0.45">
      <c r="A412" s="9" t="s">
        <v>663</v>
      </c>
      <c r="B412" s="125">
        <v>365732</v>
      </c>
      <c r="C412" s="125">
        <v>392595</v>
      </c>
      <c r="D412" s="125">
        <v>313477</v>
      </c>
      <c r="E412" s="125">
        <v>402276</v>
      </c>
      <c r="F412" s="125">
        <v>388181</v>
      </c>
      <c r="G412" s="125">
        <v>614281</v>
      </c>
    </row>
    <row r="413" spans="1:7" x14ac:dyDescent="0.45">
      <c r="A413" s="9" t="s">
        <v>664</v>
      </c>
      <c r="B413" s="125">
        <v>453051</v>
      </c>
      <c r="C413" s="125">
        <v>472760</v>
      </c>
      <c r="D413" s="125">
        <v>477520</v>
      </c>
      <c r="E413" s="125">
        <v>537400</v>
      </c>
      <c r="F413" s="125">
        <v>524173</v>
      </c>
      <c r="G413" s="125">
        <v>718428</v>
      </c>
    </row>
    <row r="414" spans="1:7" x14ac:dyDescent="0.45">
      <c r="A414" s="9" t="s">
        <v>665</v>
      </c>
      <c r="B414" s="125">
        <v>1833495</v>
      </c>
      <c r="C414" s="125">
        <v>3616086</v>
      </c>
      <c r="D414" s="125">
        <v>2356377</v>
      </c>
      <c r="E414" s="125">
        <v>2326310</v>
      </c>
      <c r="F414" s="125">
        <v>6096946</v>
      </c>
      <c r="G414" s="125">
        <v>8496884</v>
      </c>
    </row>
    <row r="415" spans="1:7" x14ac:dyDescent="0.45">
      <c r="A415" s="9" t="s">
        <v>666</v>
      </c>
      <c r="B415" s="125">
        <v>7860508</v>
      </c>
      <c r="C415" s="125">
        <v>7039691</v>
      </c>
      <c r="D415" s="125">
        <v>8849814</v>
      </c>
      <c r="E415" s="125">
        <v>9226399</v>
      </c>
      <c r="F415" s="125">
        <v>10235985</v>
      </c>
      <c r="G415" s="125">
        <v>11584630</v>
      </c>
    </row>
    <row r="416" spans="1:7" x14ac:dyDescent="0.45">
      <c r="A416" s="9" t="s">
        <v>667</v>
      </c>
      <c r="B416" s="125">
        <v>925322</v>
      </c>
      <c r="C416" s="125">
        <v>570656</v>
      </c>
      <c r="D416" s="125">
        <v>715005</v>
      </c>
      <c r="E416" s="125">
        <v>710301</v>
      </c>
      <c r="F416" s="125">
        <v>660803</v>
      </c>
      <c r="G416" s="125">
        <v>702195</v>
      </c>
    </row>
    <row r="417" spans="1:7" x14ac:dyDescent="0.45">
      <c r="A417" s="9" t="s">
        <v>668</v>
      </c>
      <c r="B417" s="125">
        <v>8657384</v>
      </c>
      <c r="C417" s="125">
        <v>9577963</v>
      </c>
      <c r="D417" s="125">
        <v>10435526</v>
      </c>
      <c r="E417" s="125">
        <v>7741954</v>
      </c>
      <c r="F417" s="125">
        <v>6160194</v>
      </c>
      <c r="G417" s="125">
        <v>3319870</v>
      </c>
    </row>
    <row r="418" spans="1:7" x14ac:dyDescent="0.45">
      <c r="A418" s="9" t="s">
        <v>669</v>
      </c>
      <c r="B418" s="125">
        <v>739304</v>
      </c>
      <c r="C418" s="125">
        <v>939398</v>
      </c>
      <c r="D418" s="125">
        <v>1440401</v>
      </c>
      <c r="E418" s="125">
        <v>778109</v>
      </c>
      <c r="F418" s="125">
        <v>892824</v>
      </c>
      <c r="G418" s="125">
        <v>1535592</v>
      </c>
    </row>
    <row r="419" spans="1:7" x14ac:dyDescent="0.45">
      <c r="A419" s="9" t="s">
        <v>670</v>
      </c>
      <c r="B419" s="125">
        <v>146858</v>
      </c>
      <c r="C419" s="125">
        <v>216489</v>
      </c>
      <c r="D419" s="125">
        <v>252927</v>
      </c>
      <c r="E419" s="125">
        <v>257520</v>
      </c>
      <c r="F419" s="125">
        <v>306502</v>
      </c>
      <c r="G419" s="125">
        <v>388797</v>
      </c>
    </row>
    <row r="420" spans="1:7" x14ac:dyDescent="0.45">
      <c r="A420" s="9" t="s">
        <v>671</v>
      </c>
      <c r="B420" s="125">
        <v>2044679</v>
      </c>
      <c r="C420" s="125">
        <v>1450511</v>
      </c>
      <c r="D420" s="125">
        <v>920488</v>
      </c>
      <c r="E420" s="125">
        <v>1262451</v>
      </c>
      <c r="F420" s="125">
        <v>1489641</v>
      </c>
      <c r="G420" s="125">
        <v>2214331</v>
      </c>
    </row>
    <row r="421" spans="1:7" x14ac:dyDescent="0.45">
      <c r="A421" s="9" t="s">
        <v>672</v>
      </c>
      <c r="B421" s="125">
        <v>1783715</v>
      </c>
      <c r="C421" s="125">
        <v>1187722</v>
      </c>
      <c r="D421" s="125">
        <v>687403</v>
      </c>
      <c r="E421" s="125">
        <v>994022</v>
      </c>
      <c r="F421" s="125">
        <v>1266678</v>
      </c>
      <c r="G421" s="125">
        <v>1905023</v>
      </c>
    </row>
    <row r="422" spans="1:7" x14ac:dyDescent="0.45">
      <c r="A422" s="9" t="s">
        <v>673</v>
      </c>
      <c r="B422" s="125">
        <v>260964</v>
      </c>
      <c r="C422" s="125">
        <v>262789</v>
      </c>
      <c r="D422" s="125">
        <v>233085</v>
      </c>
      <c r="E422" s="125">
        <v>268429</v>
      </c>
      <c r="F422" s="125">
        <v>222963</v>
      </c>
      <c r="G422" s="125">
        <v>309308</v>
      </c>
    </row>
    <row r="423" spans="1:7" x14ac:dyDescent="0.45">
      <c r="A423" s="436" t="s">
        <v>674</v>
      </c>
      <c r="B423" s="436"/>
      <c r="C423" s="436"/>
      <c r="D423" s="436"/>
      <c r="E423" s="436"/>
      <c r="F423" s="436"/>
      <c r="G423" s="436"/>
    </row>
  </sheetData>
  <mergeCells count="6">
    <mergeCell ref="A423:G423"/>
    <mergeCell ref="A1:G1"/>
    <mergeCell ref="A2:G2"/>
    <mergeCell ref="A3:G3"/>
    <mergeCell ref="A4:A5"/>
    <mergeCell ref="B4:G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A336-F0EC-4A57-8AC5-18D50B2BD143}">
  <sheetPr>
    <tabColor theme="4" tint="-0.499984740745262"/>
  </sheetPr>
  <dimension ref="A1:G423"/>
  <sheetViews>
    <sheetView workbookViewId="0">
      <selection sqref="A1:G1"/>
    </sheetView>
  </sheetViews>
  <sheetFormatPr defaultColWidth="8.86328125" defaultRowHeight="14.25" x14ac:dyDescent="0.45"/>
  <cols>
    <col min="1" max="1" width="35.53125" customWidth="1"/>
    <col min="2" max="7" width="15.33203125" customWidth="1"/>
  </cols>
  <sheetData>
    <row r="1" spans="1:7" x14ac:dyDescent="0.45">
      <c r="A1" s="437" t="s">
        <v>300</v>
      </c>
      <c r="B1" s="437"/>
      <c r="C1" s="437"/>
      <c r="D1" s="437"/>
      <c r="E1" s="437"/>
      <c r="F1" s="437"/>
      <c r="G1" s="437"/>
    </row>
    <row r="2" spans="1:7" x14ac:dyDescent="0.45">
      <c r="A2" s="436" t="s">
        <v>676</v>
      </c>
      <c r="B2" s="436"/>
      <c r="C2" s="436"/>
      <c r="D2" s="436"/>
      <c r="E2" s="436"/>
      <c r="F2" s="436"/>
      <c r="G2" s="436"/>
    </row>
    <row r="3" spans="1:7" x14ac:dyDescent="0.45">
      <c r="A3" s="436" t="s">
        <v>20</v>
      </c>
      <c r="B3" s="436"/>
      <c r="C3" s="436"/>
      <c r="D3" s="436"/>
      <c r="E3" s="436"/>
      <c r="F3" s="436"/>
      <c r="G3" s="436"/>
    </row>
    <row r="4" spans="1:7" x14ac:dyDescent="0.45">
      <c r="A4" s="436" t="s">
        <v>302</v>
      </c>
      <c r="B4" s="436" t="s">
        <v>23</v>
      </c>
      <c r="C4" s="436"/>
      <c r="D4" s="436"/>
      <c r="E4" s="436"/>
      <c r="F4" s="436"/>
      <c r="G4" s="436"/>
    </row>
    <row r="5" spans="1:7" x14ac:dyDescent="0.45">
      <c r="A5" s="436"/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</row>
    <row r="6" spans="1:7" x14ac:dyDescent="0.45">
      <c r="A6" s="9" t="s">
        <v>303</v>
      </c>
      <c r="B6" s="125">
        <v>1794409367</v>
      </c>
      <c r="C6" s="125">
        <v>1919669637</v>
      </c>
      <c r="D6" s="125">
        <v>2203512857</v>
      </c>
      <c r="E6" s="125">
        <v>2336299406</v>
      </c>
      <c r="F6" s="125">
        <v>2524396523</v>
      </c>
      <c r="G6" s="125">
        <v>3522387619</v>
      </c>
    </row>
    <row r="7" spans="1:7" x14ac:dyDescent="0.45">
      <c r="A7" s="9" t="s">
        <v>304</v>
      </c>
      <c r="B7" s="125">
        <v>59451286</v>
      </c>
      <c r="C7" s="125">
        <v>76006213</v>
      </c>
      <c r="D7" s="125">
        <v>104379272</v>
      </c>
      <c r="E7" s="125">
        <v>128997937</v>
      </c>
      <c r="F7" s="125">
        <v>137497164</v>
      </c>
      <c r="G7" s="125">
        <v>198986038</v>
      </c>
    </row>
    <row r="8" spans="1:7" x14ac:dyDescent="0.45">
      <c r="A8" s="9" t="s">
        <v>305</v>
      </c>
      <c r="B8" s="125">
        <v>628251</v>
      </c>
      <c r="C8" s="125">
        <v>651531</v>
      </c>
      <c r="D8" s="125">
        <v>738861</v>
      </c>
      <c r="E8" s="125">
        <v>911639</v>
      </c>
      <c r="F8" s="125">
        <v>845052</v>
      </c>
      <c r="G8" s="125">
        <v>1176300</v>
      </c>
    </row>
    <row r="9" spans="1:7" x14ac:dyDescent="0.45">
      <c r="A9" s="9" t="s">
        <v>306</v>
      </c>
      <c r="B9" s="125">
        <v>628251</v>
      </c>
      <c r="C9" s="125">
        <v>651531</v>
      </c>
      <c r="D9" s="125">
        <v>738861</v>
      </c>
      <c r="E9" s="125">
        <v>911639</v>
      </c>
      <c r="F9" s="125">
        <v>845052</v>
      </c>
      <c r="G9" s="125">
        <v>1176300</v>
      </c>
    </row>
    <row r="10" spans="1:7" x14ac:dyDescent="0.45">
      <c r="A10" s="9" t="s">
        <v>307</v>
      </c>
      <c r="B10" s="125">
        <v>628251</v>
      </c>
      <c r="C10" s="125">
        <v>651531</v>
      </c>
      <c r="D10" s="125">
        <v>738861</v>
      </c>
      <c r="E10" s="125">
        <v>911639</v>
      </c>
      <c r="F10" s="125">
        <v>845052</v>
      </c>
      <c r="G10" s="125">
        <v>1176300</v>
      </c>
    </row>
    <row r="11" spans="1:7" x14ac:dyDescent="0.45">
      <c r="A11" s="9" t="s">
        <v>308</v>
      </c>
      <c r="B11" s="125">
        <v>16595174</v>
      </c>
      <c r="C11" s="125">
        <v>22518691</v>
      </c>
      <c r="D11" s="125">
        <v>38503502</v>
      </c>
      <c r="E11" s="125">
        <v>44234716</v>
      </c>
      <c r="F11" s="125">
        <v>43030204</v>
      </c>
      <c r="G11" s="125">
        <v>62215886</v>
      </c>
    </row>
    <row r="12" spans="1:7" x14ac:dyDescent="0.45">
      <c r="A12" s="9" t="s">
        <v>309</v>
      </c>
      <c r="B12" s="125">
        <v>16595174</v>
      </c>
      <c r="C12" s="125">
        <v>22518691</v>
      </c>
      <c r="D12" s="125">
        <v>38503502</v>
      </c>
      <c r="E12" s="125">
        <v>44234716</v>
      </c>
      <c r="F12" s="125">
        <v>43030204</v>
      </c>
      <c r="G12" s="125">
        <v>62215886</v>
      </c>
    </row>
    <row r="13" spans="1:7" x14ac:dyDescent="0.45">
      <c r="A13" s="9" t="s">
        <v>310</v>
      </c>
      <c r="B13" s="125">
        <v>16595174</v>
      </c>
      <c r="C13" s="125">
        <v>22518691</v>
      </c>
      <c r="D13" s="125">
        <v>38503502</v>
      </c>
      <c r="E13" s="125">
        <v>44234716</v>
      </c>
      <c r="F13" s="125">
        <v>43030204</v>
      </c>
      <c r="G13" s="125">
        <v>62215886</v>
      </c>
    </row>
    <row r="14" spans="1:7" x14ac:dyDescent="0.45">
      <c r="A14" s="9" t="s">
        <v>311</v>
      </c>
      <c r="B14" s="125">
        <v>29449615</v>
      </c>
      <c r="C14" s="125">
        <v>41182752</v>
      </c>
      <c r="D14" s="125">
        <v>53725861</v>
      </c>
      <c r="E14" s="125">
        <v>70893762</v>
      </c>
      <c r="F14" s="125">
        <v>77814274</v>
      </c>
      <c r="G14" s="125">
        <v>113080117</v>
      </c>
    </row>
    <row r="15" spans="1:7" x14ac:dyDescent="0.45">
      <c r="A15" s="9" t="s">
        <v>312</v>
      </c>
      <c r="B15" s="125">
        <v>24369581</v>
      </c>
      <c r="C15" s="125">
        <v>36210273</v>
      </c>
      <c r="D15" s="125">
        <v>47792071</v>
      </c>
      <c r="E15" s="125">
        <v>64129393</v>
      </c>
      <c r="F15" s="125">
        <v>69766872</v>
      </c>
      <c r="G15" s="125">
        <v>102354654</v>
      </c>
    </row>
    <row r="16" spans="1:7" x14ac:dyDescent="0.45">
      <c r="A16" s="9" t="s">
        <v>313</v>
      </c>
      <c r="B16" s="125">
        <v>24369581</v>
      </c>
      <c r="C16" s="125">
        <v>36210273</v>
      </c>
      <c r="D16" s="125">
        <v>47792071</v>
      </c>
      <c r="E16" s="125">
        <v>64129393</v>
      </c>
      <c r="F16" s="125">
        <v>69766872</v>
      </c>
      <c r="G16" s="125">
        <v>102354654</v>
      </c>
    </row>
    <row r="17" spans="1:7" x14ac:dyDescent="0.45">
      <c r="A17" s="9" t="s">
        <v>314</v>
      </c>
      <c r="B17" s="125">
        <v>5080034</v>
      </c>
      <c r="C17" s="125">
        <v>4972479</v>
      </c>
      <c r="D17" s="125">
        <v>5933790</v>
      </c>
      <c r="E17" s="125">
        <v>6764369</v>
      </c>
      <c r="F17" s="125">
        <v>8047402</v>
      </c>
      <c r="G17" s="125">
        <v>10725463</v>
      </c>
    </row>
    <row r="18" spans="1:7" x14ac:dyDescent="0.45">
      <c r="A18" s="9" t="s">
        <v>315</v>
      </c>
      <c r="B18" s="125">
        <v>1100690</v>
      </c>
      <c r="C18" s="125">
        <v>1059042</v>
      </c>
      <c r="D18" s="125">
        <v>1096938</v>
      </c>
      <c r="E18" s="125">
        <v>1167655</v>
      </c>
      <c r="F18" s="125">
        <v>1465533</v>
      </c>
      <c r="G18" s="125">
        <v>1735457</v>
      </c>
    </row>
    <row r="19" spans="1:7" x14ac:dyDescent="0.45">
      <c r="A19" s="9" t="s">
        <v>316</v>
      </c>
      <c r="B19" s="125">
        <v>36676</v>
      </c>
      <c r="C19" s="125">
        <v>18004</v>
      </c>
      <c r="D19" s="125">
        <v>100851</v>
      </c>
      <c r="E19" s="125">
        <v>195051</v>
      </c>
      <c r="F19" s="125">
        <v>221378</v>
      </c>
      <c r="G19" s="125">
        <v>531206</v>
      </c>
    </row>
    <row r="20" spans="1:7" x14ac:dyDescent="0.45">
      <c r="A20" s="9" t="s">
        <v>317</v>
      </c>
      <c r="B20" s="125">
        <v>74402</v>
      </c>
      <c r="C20" s="125">
        <v>319999</v>
      </c>
      <c r="D20" s="125">
        <v>507430</v>
      </c>
      <c r="E20" s="125">
        <v>882686</v>
      </c>
      <c r="F20" s="125">
        <v>507120</v>
      </c>
      <c r="G20" s="125">
        <v>266166</v>
      </c>
    </row>
    <row r="21" spans="1:7" x14ac:dyDescent="0.45">
      <c r="A21" s="9" t="s">
        <v>318</v>
      </c>
      <c r="B21" s="125">
        <v>440768</v>
      </c>
      <c r="C21" s="125">
        <v>221904</v>
      </c>
      <c r="D21" s="125">
        <v>258357</v>
      </c>
      <c r="E21" s="125">
        <v>258799</v>
      </c>
      <c r="F21" s="125">
        <v>1204241</v>
      </c>
      <c r="G21" s="125">
        <v>2050185</v>
      </c>
    </row>
    <row r="22" spans="1:7" x14ac:dyDescent="0.45">
      <c r="A22" s="9" t="s">
        <v>319</v>
      </c>
      <c r="B22" s="125" t="s">
        <v>35</v>
      </c>
      <c r="C22" s="125" t="s">
        <v>35</v>
      </c>
      <c r="D22" s="125" t="s">
        <v>35</v>
      </c>
      <c r="E22" s="125" t="s">
        <v>35</v>
      </c>
      <c r="F22" s="125" t="s">
        <v>35</v>
      </c>
      <c r="G22" s="125" t="s">
        <v>35</v>
      </c>
    </row>
    <row r="23" spans="1:7" x14ac:dyDescent="0.45">
      <c r="A23" s="9" t="s">
        <v>320</v>
      </c>
      <c r="B23" s="125">
        <v>3427498</v>
      </c>
      <c r="C23" s="125">
        <v>3353530</v>
      </c>
      <c r="D23" s="125">
        <v>3970214</v>
      </c>
      <c r="E23" s="125">
        <v>4260178</v>
      </c>
      <c r="F23" s="125">
        <v>4649130</v>
      </c>
      <c r="G23" s="125">
        <v>6142449</v>
      </c>
    </row>
    <row r="24" spans="1:7" x14ac:dyDescent="0.45">
      <c r="A24" s="9" t="s">
        <v>321</v>
      </c>
      <c r="B24" s="125">
        <v>6404458</v>
      </c>
      <c r="C24" s="125">
        <v>5854851</v>
      </c>
      <c r="D24" s="125">
        <v>5890375</v>
      </c>
      <c r="E24" s="125">
        <v>6504027</v>
      </c>
      <c r="F24" s="125">
        <v>7850648</v>
      </c>
      <c r="G24" s="125">
        <v>10798930</v>
      </c>
    </row>
    <row r="25" spans="1:7" x14ac:dyDescent="0.45">
      <c r="A25" s="9" t="s">
        <v>322</v>
      </c>
      <c r="B25" s="125">
        <v>4505801</v>
      </c>
      <c r="C25" s="125">
        <v>4172405</v>
      </c>
      <c r="D25" s="125">
        <v>4245524</v>
      </c>
      <c r="E25" s="125">
        <v>4767948</v>
      </c>
      <c r="F25" s="125">
        <v>5712777</v>
      </c>
      <c r="G25" s="125">
        <v>7469383</v>
      </c>
    </row>
    <row r="26" spans="1:7" x14ac:dyDescent="0.45">
      <c r="A26" s="9" t="s">
        <v>323</v>
      </c>
      <c r="B26" s="125">
        <v>4505801</v>
      </c>
      <c r="C26" s="125">
        <v>4172405</v>
      </c>
      <c r="D26" s="125">
        <v>4245524</v>
      </c>
      <c r="E26" s="125">
        <v>4767948</v>
      </c>
      <c r="F26" s="125">
        <v>5712777</v>
      </c>
      <c r="G26" s="125">
        <v>7469383</v>
      </c>
    </row>
    <row r="27" spans="1:7" x14ac:dyDescent="0.45">
      <c r="A27" s="9" t="s">
        <v>324</v>
      </c>
      <c r="B27" s="125">
        <v>1898657</v>
      </c>
      <c r="C27" s="125">
        <v>1682446</v>
      </c>
      <c r="D27" s="125">
        <v>1644851</v>
      </c>
      <c r="E27" s="125">
        <v>1736079</v>
      </c>
      <c r="F27" s="125">
        <v>2137871</v>
      </c>
      <c r="G27" s="125">
        <v>3329547</v>
      </c>
    </row>
    <row r="28" spans="1:7" x14ac:dyDescent="0.45">
      <c r="A28" s="9" t="s">
        <v>325</v>
      </c>
      <c r="B28" s="125">
        <v>112618</v>
      </c>
      <c r="C28" s="125">
        <v>177714</v>
      </c>
      <c r="D28" s="125">
        <v>119176</v>
      </c>
      <c r="E28" s="125">
        <v>280750</v>
      </c>
      <c r="F28" s="125">
        <v>496591</v>
      </c>
      <c r="G28" s="125">
        <v>936520</v>
      </c>
    </row>
    <row r="29" spans="1:7" x14ac:dyDescent="0.45">
      <c r="A29" s="9" t="s">
        <v>326</v>
      </c>
      <c r="B29" s="125">
        <v>680514</v>
      </c>
      <c r="C29" s="125">
        <v>478227</v>
      </c>
      <c r="D29" s="125">
        <v>527662</v>
      </c>
      <c r="E29" s="125">
        <v>550481</v>
      </c>
      <c r="F29" s="125">
        <v>599446</v>
      </c>
      <c r="G29" s="125">
        <v>771479</v>
      </c>
    </row>
    <row r="30" spans="1:7" x14ac:dyDescent="0.45">
      <c r="A30" s="9" t="s">
        <v>327</v>
      </c>
      <c r="B30" s="125">
        <v>62301</v>
      </c>
      <c r="C30" s="125">
        <v>83931</v>
      </c>
      <c r="D30" s="125">
        <v>112038</v>
      </c>
      <c r="E30" s="125">
        <v>94065</v>
      </c>
      <c r="F30" s="125">
        <v>97356</v>
      </c>
      <c r="G30" s="125">
        <v>117464</v>
      </c>
    </row>
    <row r="31" spans="1:7" x14ac:dyDescent="0.45">
      <c r="A31" s="9" t="s">
        <v>328</v>
      </c>
      <c r="B31" s="125">
        <v>1043224</v>
      </c>
      <c r="C31" s="125">
        <v>942574</v>
      </c>
      <c r="D31" s="125">
        <v>885975</v>
      </c>
      <c r="E31" s="125">
        <v>810783</v>
      </c>
      <c r="F31" s="125">
        <v>944478</v>
      </c>
      <c r="G31" s="125">
        <v>1504084</v>
      </c>
    </row>
    <row r="32" spans="1:7" x14ac:dyDescent="0.45">
      <c r="A32" s="9" t="s">
        <v>329</v>
      </c>
      <c r="B32" s="125">
        <v>6373788</v>
      </c>
      <c r="C32" s="125">
        <v>5798388</v>
      </c>
      <c r="D32" s="125">
        <v>5520673</v>
      </c>
      <c r="E32" s="125">
        <v>6453793</v>
      </c>
      <c r="F32" s="125">
        <v>7956986</v>
      </c>
      <c r="G32" s="125">
        <v>11714805</v>
      </c>
    </row>
    <row r="33" spans="1:7" x14ac:dyDescent="0.45">
      <c r="A33" s="9" t="s">
        <v>330</v>
      </c>
      <c r="B33" s="125">
        <v>6202832</v>
      </c>
      <c r="C33" s="125">
        <v>5636799</v>
      </c>
      <c r="D33" s="125">
        <v>5419693</v>
      </c>
      <c r="E33" s="125">
        <v>6241026</v>
      </c>
      <c r="F33" s="125">
        <v>7650972</v>
      </c>
      <c r="G33" s="125">
        <v>11410988</v>
      </c>
    </row>
    <row r="34" spans="1:7" x14ac:dyDescent="0.45">
      <c r="A34" s="9" t="s">
        <v>331</v>
      </c>
      <c r="B34" s="125">
        <v>6202832</v>
      </c>
      <c r="C34" s="125">
        <v>5636799</v>
      </c>
      <c r="D34" s="125">
        <v>5419693</v>
      </c>
      <c r="E34" s="125">
        <v>6241026</v>
      </c>
      <c r="F34" s="125">
        <v>7650972</v>
      </c>
      <c r="G34" s="125">
        <v>11410988</v>
      </c>
    </row>
    <row r="35" spans="1:7" x14ac:dyDescent="0.45">
      <c r="A35" s="9" t="s">
        <v>332</v>
      </c>
      <c r="B35" s="125">
        <v>170956</v>
      </c>
      <c r="C35" s="125">
        <v>161589</v>
      </c>
      <c r="D35" s="125">
        <v>100980</v>
      </c>
      <c r="E35" s="125">
        <v>212767</v>
      </c>
      <c r="F35" s="125">
        <v>306014</v>
      </c>
      <c r="G35" s="125">
        <v>303817</v>
      </c>
    </row>
    <row r="36" spans="1:7" x14ac:dyDescent="0.45">
      <c r="A36" s="9" t="s">
        <v>333</v>
      </c>
      <c r="B36" s="125">
        <v>170956</v>
      </c>
      <c r="C36" s="125">
        <v>161589</v>
      </c>
      <c r="D36" s="125">
        <v>100980</v>
      </c>
      <c r="E36" s="125">
        <v>212767</v>
      </c>
      <c r="F36" s="125">
        <v>306014</v>
      </c>
      <c r="G36" s="125">
        <v>303817</v>
      </c>
    </row>
    <row r="37" spans="1:7" x14ac:dyDescent="0.45">
      <c r="A37" s="9" t="s">
        <v>334</v>
      </c>
      <c r="B37" s="125">
        <v>1734958081</v>
      </c>
      <c r="C37" s="125">
        <v>1843663424</v>
      </c>
      <c r="D37" s="125">
        <v>2099133585</v>
      </c>
      <c r="E37" s="125">
        <v>2207301469</v>
      </c>
      <c r="F37" s="125">
        <v>2386899359</v>
      </c>
      <c r="G37" s="125">
        <v>3323401581</v>
      </c>
    </row>
    <row r="38" spans="1:7" x14ac:dyDescent="0.45">
      <c r="A38" s="9" t="s">
        <v>335</v>
      </c>
      <c r="B38" s="125">
        <v>457920360</v>
      </c>
      <c r="C38" s="125">
        <v>467513021</v>
      </c>
      <c r="D38" s="125">
        <v>497923583</v>
      </c>
      <c r="E38" s="125">
        <v>511191470</v>
      </c>
      <c r="F38" s="125">
        <v>655064079</v>
      </c>
      <c r="G38" s="125">
        <v>837714506</v>
      </c>
    </row>
    <row r="39" spans="1:7" x14ac:dyDescent="0.45">
      <c r="A39" s="9" t="s">
        <v>336</v>
      </c>
      <c r="B39" s="125">
        <v>158187724</v>
      </c>
      <c r="C39" s="125">
        <v>153741689</v>
      </c>
      <c r="D39" s="125">
        <v>166205167</v>
      </c>
      <c r="E39" s="125">
        <v>179136242</v>
      </c>
      <c r="F39" s="125">
        <v>234247866</v>
      </c>
      <c r="G39" s="125">
        <v>312159695</v>
      </c>
    </row>
    <row r="40" spans="1:7" x14ac:dyDescent="0.45">
      <c r="A40" s="9" t="s">
        <v>337</v>
      </c>
      <c r="B40" s="125">
        <v>70325638</v>
      </c>
      <c r="C40" s="125">
        <v>68614168</v>
      </c>
      <c r="D40" s="125">
        <v>74954025</v>
      </c>
      <c r="E40" s="125">
        <v>80436056</v>
      </c>
      <c r="F40" s="125">
        <v>106320127</v>
      </c>
      <c r="G40" s="125">
        <v>131821087</v>
      </c>
    </row>
    <row r="41" spans="1:7" x14ac:dyDescent="0.45">
      <c r="A41" s="9" t="s">
        <v>338</v>
      </c>
      <c r="B41" s="125">
        <v>77385597</v>
      </c>
      <c r="C41" s="125">
        <v>74414271</v>
      </c>
      <c r="D41" s="125">
        <v>80609118</v>
      </c>
      <c r="E41" s="125">
        <v>86853503</v>
      </c>
      <c r="F41" s="125">
        <v>116130902</v>
      </c>
      <c r="G41" s="125">
        <v>163404918</v>
      </c>
    </row>
    <row r="42" spans="1:7" x14ac:dyDescent="0.45">
      <c r="A42" s="9" t="s">
        <v>339</v>
      </c>
      <c r="B42" s="125">
        <v>10476489</v>
      </c>
      <c r="C42" s="125">
        <v>10713250</v>
      </c>
      <c r="D42" s="125">
        <v>10642024</v>
      </c>
      <c r="E42" s="125">
        <v>11846683</v>
      </c>
      <c r="F42" s="125">
        <v>11796837</v>
      </c>
      <c r="G42" s="125">
        <v>16933690</v>
      </c>
    </row>
    <row r="43" spans="1:7" x14ac:dyDescent="0.45">
      <c r="A43" s="9" t="s">
        <v>340</v>
      </c>
      <c r="B43" s="125">
        <v>2762638</v>
      </c>
      <c r="C43" s="125">
        <v>2357023</v>
      </c>
      <c r="D43" s="125">
        <v>2665415</v>
      </c>
      <c r="E43" s="125">
        <v>3569408</v>
      </c>
      <c r="F43" s="125">
        <v>3836057</v>
      </c>
      <c r="G43" s="125">
        <v>5006377</v>
      </c>
    </row>
    <row r="44" spans="1:7" x14ac:dyDescent="0.45">
      <c r="A44" s="9" t="s">
        <v>341</v>
      </c>
      <c r="B44" s="125">
        <v>2762638</v>
      </c>
      <c r="C44" s="125">
        <v>2357023</v>
      </c>
      <c r="D44" s="125">
        <v>2665415</v>
      </c>
      <c r="E44" s="125">
        <v>3569408</v>
      </c>
      <c r="F44" s="125">
        <v>3836057</v>
      </c>
      <c r="G44" s="125">
        <v>5006377</v>
      </c>
    </row>
    <row r="45" spans="1:7" x14ac:dyDescent="0.45">
      <c r="A45" s="9" t="s">
        <v>342</v>
      </c>
      <c r="B45" s="125">
        <v>16320243</v>
      </c>
      <c r="C45" s="125">
        <v>18492301</v>
      </c>
      <c r="D45" s="125">
        <v>19374010</v>
      </c>
      <c r="E45" s="125">
        <v>19978675</v>
      </c>
      <c r="F45" s="125">
        <v>20150156</v>
      </c>
      <c r="G45" s="125">
        <v>24778485</v>
      </c>
    </row>
    <row r="46" spans="1:7" x14ac:dyDescent="0.45">
      <c r="A46" s="9" t="s">
        <v>343</v>
      </c>
      <c r="B46" s="125">
        <v>4182437</v>
      </c>
      <c r="C46" s="125">
        <v>4008559</v>
      </c>
      <c r="D46" s="125">
        <v>4372722</v>
      </c>
      <c r="E46" s="125">
        <v>4394313</v>
      </c>
      <c r="F46" s="125">
        <v>5072247</v>
      </c>
      <c r="G46" s="125">
        <v>6387166</v>
      </c>
    </row>
    <row r="47" spans="1:7" x14ac:dyDescent="0.45">
      <c r="A47" s="9" t="s">
        <v>344</v>
      </c>
      <c r="B47" s="125">
        <v>2340291</v>
      </c>
      <c r="C47" s="125">
        <v>2805354</v>
      </c>
      <c r="D47" s="125">
        <v>2964744</v>
      </c>
      <c r="E47" s="125">
        <v>3378224</v>
      </c>
      <c r="F47" s="125">
        <v>3799965</v>
      </c>
      <c r="G47" s="125">
        <v>4439551</v>
      </c>
    </row>
    <row r="48" spans="1:7" x14ac:dyDescent="0.45">
      <c r="A48" s="9" t="s">
        <v>345</v>
      </c>
      <c r="B48" s="125">
        <v>9797515</v>
      </c>
      <c r="C48" s="125">
        <v>11678388</v>
      </c>
      <c r="D48" s="125">
        <v>12036544</v>
      </c>
      <c r="E48" s="125">
        <v>12206138</v>
      </c>
      <c r="F48" s="125">
        <v>11277944</v>
      </c>
      <c r="G48" s="125">
        <v>13951768</v>
      </c>
    </row>
    <row r="49" spans="1:7" x14ac:dyDescent="0.45">
      <c r="A49" s="9" t="s">
        <v>346</v>
      </c>
      <c r="B49" s="125">
        <v>72634354</v>
      </c>
      <c r="C49" s="125">
        <v>87698822</v>
      </c>
      <c r="D49" s="125">
        <v>100616169</v>
      </c>
      <c r="E49" s="125">
        <v>99393079</v>
      </c>
      <c r="F49" s="125">
        <v>125865572</v>
      </c>
      <c r="G49" s="125">
        <v>166989884</v>
      </c>
    </row>
    <row r="50" spans="1:7" x14ac:dyDescent="0.45">
      <c r="A50" s="9" t="s">
        <v>347</v>
      </c>
      <c r="B50" s="125">
        <v>70199710</v>
      </c>
      <c r="C50" s="125">
        <v>85461035</v>
      </c>
      <c r="D50" s="125">
        <v>98622756</v>
      </c>
      <c r="E50" s="125">
        <v>70235695</v>
      </c>
      <c r="F50" s="125">
        <v>102226621</v>
      </c>
      <c r="G50" s="125">
        <v>161945179</v>
      </c>
    </row>
    <row r="51" spans="1:7" x14ac:dyDescent="0.45">
      <c r="A51" s="9" t="s">
        <v>348</v>
      </c>
      <c r="B51" s="125">
        <v>1860291</v>
      </c>
      <c r="C51" s="125">
        <v>2104186</v>
      </c>
      <c r="D51" s="125">
        <v>1842485</v>
      </c>
      <c r="E51" s="125">
        <v>29019572</v>
      </c>
      <c r="F51" s="125">
        <v>23275454</v>
      </c>
      <c r="G51" s="125">
        <v>4578672</v>
      </c>
    </row>
    <row r="52" spans="1:7" x14ac:dyDescent="0.45">
      <c r="A52" s="9" t="s">
        <v>349</v>
      </c>
      <c r="B52" s="125">
        <v>574353</v>
      </c>
      <c r="C52" s="125">
        <v>133601</v>
      </c>
      <c r="D52" s="125">
        <v>150928</v>
      </c>
      <c r="E52" s="125">
        <v>137812</v>
      </c>
      <c r="F52" s="125">
        <v>363497</v>
      </c>
      <c r="G52" s="125">
        <v>466033</v>
      </c>
    </row>
    <row r="53" spans="1:7" x14ac:dyDescent="0.45">
      <c r="A53" s="9" t="s">
        <v>350</v>
      </c>
      <c r="B53" s="125">
        <v>62346234</v>
      </c>
      <c r="C53" s="125">
        <v>59912827</v>
      </c>
      <c r="D53" s="125">
        <v>67140992</v>
      </c>
      <c r="E53" s="125">
        <v>72238274</v>
      </c>
      <c r="F53" s="125">
        <v>86658418</v>
      </c>
      <c r="G53" s="125">
        <v>99979175</v>
      </c>
    </row>
    <row r="54" spans="1:7" x14ac:dyDescent="0.45">
      <c r="A54" s="9" t="s">
        <v>351</v>
      </c>
      <c r="B54" s="125">
        <v>11789743</v>
      </c>
      <c r="C54" s="125">
        <v>11922795</v>
      </c>
      <c r="D54" s="125">
        <v>12945035</v>
      </c>
      <c r="E54" s="125">
        <v>14027187</v>
      </c>
      <c r="F54" s="125">
        <v>19930641</v>
      </c>
      <c r="G54" s="125">
        <v>21111883</v>
      </c>
    </row>
    <row r="55" spans="1:7" x14ac:dyDescent="0.45">
      <c r="A55" s="9" t="s">
        <v>352</v>
      </c>
      <c r="B55" s="125">
        <v>48539261</v>
      </c>
      <c r="C55" s="125">
        <v>45836790</v>
      </c>
      <c r="D55" s="125">
        <v>51440539</v>
      </c>
      <c r="E55" s="125">
        <v>55587519</v>
      </c>
      <c r="F55" s="125">
        <v>64140343</v>
      </c>
      <c r="G55" s="125">
        <v>76158031</v>
      </c>
    </row>
    <row r="56" spans="1:7" x14ac:dyDescent="0.45">
      <c r="A56" s="9" t="s">
        <v>353</v>
      </c>
      <c r="B56" s="125">
        <v>2017230</v>
      </c>
      <c r="C56" s="125">
        <v>2153242</v>
      </c>
      <c r="D56" s="125">
        <v>2755418</v>
      </c>
      <c r="E56" s="125">
        <v>2623568</v>
      </c>
      <c r="F56" s="125">
        <v>2587434</v>
      </c>
      <c r="G56" s="125">
        <v>2709261</v>
      </c>
    </row>
    <row r="57" spans="1:7" x14ac:dyDescent="0.45">
      <c r="A57" s="9" t="s">
        <v>354</v>
      </c>
      <c r="B57" s="125">
        <v>50099932</v>
      </c>
      <c r="C57" s="125">
        <v>47406564</v>
      </c>
      <c r="D57" s="125">
        <v>52009662</v>
      </c>
      <c r="E57" s="125">
        <v>57255554</v>
      </c>
      <c r="F57" s="125">
        <v>71919656</v>
      </c>
      <c r="G57" s="125">
        <v>93905219</v>
      </c>
    </row>
    <row r="58" spans="1:7" x14ac:dyDescent="0.45">
      <c r="A58" s="9" t="s">
        <v>355</v>
      </c>
      <c r="B58" s="125">
        <v>14789166</v>
      </c>
      <c r="C58" s="125">
        <v>14389382</v>
      </c>
      <c r="D58" s="125">
        <v>14295838</v>
      </c>
      <c r="E58" s="125">
        <v>15838889</v>
      </c>
      <c r="F58" s="125">
        <v>21624175</v>
      </c>
      <c r="G58" s="125">
        <v>25852493</v>
      </c>
    </row>
    <row r="59" spans="1:7" x14ac:dyDescent="0.45">
      <c r="A59" s="9" t="s">
        <v>356</v>
      </c>
      <c r="B59" s="125">
        <v>9041437</v>
      </c>
      <c r="C59" s="125">
        <v>8327105</v>
      </c>
      <c r="D59" s="125">
        <v>9809601</v>
      </c>
      <c r="E59" s="125">
        <v>11564964</v>
      </c>
      <c r="F59" s="125">
        <v>12657152</v>
      </c>
      <c r="G59" s="125">
        <v>14664497</v>
      </c>
    </row>
    <row r="60" spans="1:7" x14ac:dyDescent="0.45">
      <c r="A60" s="9" t="s">
        <v>357</v>
      </c>
      <c r="B60" s="125">
        <v>593914</v>
      </c>
      <c r="C60" s="125">
        <v>609320</v>
      </c>
      <c r="D60" s="125">
        <v>564895</v>
      </c>
      <c r="E60" s="125">
        <v>301857</v>
      </c>
      <c r="F60" s="125">
        <v>503206</v>
      </c>
      <c r="G60" s="125">
        <v>557543</v>
      </c>
    </row>
    <row r="61" spans="1:7" x14ac:dyDescent="0.45">
      <c r="A61" s="9" t="s">
        <v>358</v>
      </c>
      <c r="B61" s="125">
        <v>6435733</v>
      </c>
      <c r="C61" s="125">
        <v>4860811</v>
      </c>
      <c r="D61" s="125">
        <v>5425496</v>
      </c>
      <c r="E61" s="125">
        <v>5780985</v>
      </c>
      <c r="F61" s="125">
        <v>6410789</v>
      </c>
      <c r="G61" s="125">
        <v>8484088</v>
      </c>
    </row>
    <row r="62" spans="1:7" x14ac:dyDescent="0.45">
      <c r="A62" s="9" t="s">
        <v>359</v>
      </c>
      <c r="B62" s="125">
        <v>3074740</v>
      </c>
      <c r="C62" s="125">
        <v>3206446</v>
      </c>
      <c r="D62" s="125">
        <v>3477169</v>
      </c>
      <c r="E62" s="125">
        <v>3358814</v>
      </c>
      <c r="F62" s="125">
        <v>3858607</v>
      </c>
      <c r="G62" s="125">
        <v>5570646</v>
      </c>
    </row>
    <row r="63" spans="1:7" x14ac:dyDescent="0.45">
      <c r="A63" s="9" t="s">
        <v>360</v>
      </c>
      <c r="B63" s="125">
        <v>14925133</v>
      </c>
      <c r="C63" s="125">
        <v>14631110</v>
      </c>
      <c r="D63" s="125">
        <v>17122757</v>
      </c>
      <c r="E63" s="125">
        <v>19308844</v>
      </c>
      <c r="F63" s="125">
        <v>25194806</v>
      </c>
      <c r="G63" s="125">
        <v>36773136</v>
      </c>
    </row>
    <row r="64" spans="1:7" x14ac:dyDescent="0.45">
      <c r="A64" s="9" t="s">
        <v>361</v>
      </c>
      <c r="B64" s="125">
        <v>1239809</v>
      </c>
      <c r="C64" s="125">
        <v>1382390</v>
      </c>
      <c r="D64" s="125">
        <v>1313906</v>
      </c>
      <c r="E64" s="125">
        <v>1101201</v>
      </c>
      <c r="F64" s="125">
        <v>1670921</v>
      </c>
      <c r="G64" s="125">
        <v>2002816</v>
      </c>
    </row>
    <row r="65" spans="1:7" x14ac:dyDescent="0.45">
      <c r="A65" s="9" t="s">
        <v>362</v>
      </c>
      <c r="B65" s="125">
        <v>41598792</v>
      </c>
      <c r="C65" s="125">
        <v>39211335</v>
      </c>
      <c r="D65" s="125">
        <v>28131539</v>
      </c>
      <c r="E65" s="125">
        <v>17971153</v>
      </c>
      <c r="F65" s="125">
        <v>43575572</v>
      </c>
      <c r="G65" s="125">
        <v>47765056</v>
      </c>
    </row>
    <row r="66" spans="1:7" x14ac:dyDescent="0.45">
      <c r="A66" s="9" t="s">
        <v>363</v>
      </c>
      <c r="B66" s="125">
        <v>40577843</v>
      </c>
      <c r="C66" s="125">
        <v>37749790</v>
      </c>
      <c r="D66" s="125">
        <v>25851270</v>
      </c>
      <c r="E66" s="125">
        <v>16110222</v>
      </c>
      <c r="F66" s="125">
        <v>42077286</v>
      </c>
      <c r="G66" s="125">
        <v>45517041</v>
      </c>
    </row>
    <row r="67" spans="1:7" x14ac:dyDescent="0.45">
      <c r="A67" s="9" t="s">
        <v>364</v>
      </c>
      <c r="B67" s="125">
        <v>1020949</v>
      </c>
      <c r="C67" s="125">
        <v>1461545</v>
      </c>
      <c r="D67" s="125">
        <v>2280269</v>
      </c>
      <c r="E67" s="125">
        <v>1860931</v>
      </c>
      <c r="F67" s="125">
        <v>1498286</v>
      </c>
      <c r="G67" s="125">
        <v>2248015</v>
      </c>
    </row>
    <row r="68" spans="1:7" x14ac:dyDescent="0.45">
      <c r="A68" s="9" t="s">
        <v>365</v>
      </c>
      <c r="B68" s="125">
        <v>8518262</v>
      </c>
      <c r="C68" s="125">
        <v>10926432</v>
      </c>
      <c r="D68" s="125">
        <v>10296612</v>
      </c>
      <c r="E68" s="125">
        <v>9226318</v>
      </c>
      <c r="F68" s="125">
        <v>9736494</v>
      </c>
      <c r="G68" s="125">
        <v>13021567</v>
      </c>
    </row>
    <row r="69" spans="1:7" x14ac:dyDescent="0.45">
      <c r="A69" s="9" t="s">
        <v>366</v>
      </c>
      <c r="B69" s="125">
        <v>6909362</v>
      </c>
      <c r="C69" s="125">
        <v>9465243</v>
      </c>
      <c r="D69" s="125">
        <v>9002424</v>
      </c>
      <c r="E69" s="125">
        <v>7909821</v>
      </c>
      <c r="F69" s="125">
        <v>8300308</v>
      </c>
      <c r="G69" s="125">
        <v>11162659</v>
      </c>
    </row>
    <row r="70" spans="1:7" x14ac:dyDescent="0.45">
      <c r="A70" s="9" t="s">
        <v>367</v>
      </c>
      <c r="B70" s="125">
        <v>1608900</v>
      </c>
      <c r="C70" s="125">
        <v>1461189</v>
      </c>
      <c r="D70" s="125">
        <v>1294188</v>
      </c>
      <c r="E70" s="125">
        <v>1316497</v>
      </c>
      <c r="F70" s="125">
        <v>1436186</v>
      </c>
      <c r="G70" s="125">
        <v>1858908</v>
      </c>
    </row>
    <row r="71" spans="1:7" x14ac:dyDescent="0.45">
      <c r="A71" s="9" t="s">
        <v>368</v>
      </c>
      <c r="B71" s="125">
        <v>45452181</v>
      </c>
      <c r="C71" s="125">
        <v>47766028</v>
      </c>
      <c r="D71" s="125">
        <v>51484017</v>
      </c>
      <c r="E71" s="125">
        <v>52422767</v>
      </c>
      <c r="F71" s="125">
        <v>59074288</v>
      </c>
      <c r="G71" s="125">
        <v>74109048</v>
      </c>
    </row>
    <row r="72" spans="1:7" x14ac:dyDescent="0.45">
      <c r="A72" s="9" t="s">
        <v>369</v>
      </c>
      <c r="B72" s="125">
        <v>5923152</v>
      </c>
      <c r="C72" s="125">
        <v>5785637</v>
      </c>
      <c r="D72" s="125">
        <v>6491803</v>
      </c>
      <c r="E72" s="125">
        <v>7039341</v>
      </c>
      <c r="F72" s="125">
        <v>7570013</v>
      </c>
      <c r="G72" s="125">
        <v>11870862</v>
      </c>
    </row>
    <row r="73" spans="1:7" x14ac:dyDescent="0.45">
      <c r="A73" s="9" t="s">
        <v>370</v>
      </c>
      <c r="B73" s="125">
        <v>8945047</v>
      </c>
      <c r="C73" s="125">
        <v>8806684</v>
      </c>
      <c r="D73" s="125">
        <v>10029078</v>
      </c>
      <c r="E73" s="125">
        <v>10943574</v>
      </c>
      <c r="F73" s="125">
        <v>12269864</v>
      </c>
      <c r="G73" s="125">
        <v>11960692</v>
      </c>
    </row>
    <row r="74" spans="1:7" x14ac:dyDescent="0.45">
      <c r="A74" s="9" t="s">
        <v>371</v>
      </c>
      <c r="B74" s="125">
        <v>12730065</v>
      </c>
      <c r="C74" s="125">
        <v>12419993</v>
      </c>
      <c r="D74" s="125">
        <v>14568025</v>
      </c>
      <c r="E74" s="125">
        <v>15517246</v>
      </c>
      <c r="F74" s="125">
        <v>16780181</v>
      </c>
      <c r="G74" s="125">
        <v>22252900</v>
      </c>
    </row>
    <row r="75" spans="1:7" x14ac:dyDescent="0.45">
      <c r="A75" s="9" t="s">
        <v>372</v>
      </c>
      <c r="B75" s="125">
        <v>4143775</v>
      </c>
      <c r="C75" s="125">
        <v>3976662</v>
      </c>
      <c r="D75" s="125">
        <v>4314077</v>
      </c>
      <c r="E75" s="125">
        <v>3717136</v>
      </c>
      <c r="F75" s="125">
        <v>4476054</v>
      </c>
      <c r="G75" s="125">
        <v>5387094</v>
      </c>
    </row>
    <row r="76" spans="1:7" x14ac:dyDescent="0.45">
      <c r="A76" s="9" t="s">
        <v>373</v>
      </c>
      <c r="B76" s="125">
        <v>5424778</v>
      </c>
      <c r="C76" s="125">
        <v>5559337</v>
      </c>
      <c r="D76" s="125">
        <v>5688799</v>
      </c>
      <c r="E76" s="125">
        <v>5241423</v>
      </c>
      <c r="F76" s="125">
        <v>5929895</v>
      </c>
      <c r="G76" s="125">
        <v>6845327</v>
      </c>
    </row>
    <row r="77" spans="1:7" x14ac:dyDescent="0.45">
      <c r="A77" s="9" t="s">
        <v>374</v>
      </c>
      <c r="B77" s="125">
        <v>433367</v>
      </c>
      <c r="C77" s="125">
        <v>318664</v>
      </c>
      <c r="D77" s="125">
        <v>385443</v>
      </c>
      <c r="E77" s="125">
        <v>393502</v>
      </c>
      <c r="F77" s="125">
        <v>491048</v>
      </c>
      <c r="G77" s="125">
        <v>671369</v>
      </c>
    </row>
    <row r="78" spans="1:7" x14ac:dyDescent="0.45">
      <c r="A78" s="9" t="s">
        <v>375</v>
      </c>
      <c r="B78" s="125">
        <v>7851997</v>
      </c>
      <c r="C78" s="125">
        <v>10899051</v>
      </c>
      <c r="D78" s="125">
        <v>10006792</v>
      </c>
      <c r="E78" s="125">
        <v>9570545</v>
      </c>
      <c r="F78" s="125">
        <v>11557233</v>
      </c>
      <c r="G78" s="125">
        <v>15120804</v>
      </c>
    </row>
    <row r="79" spans="1:7" x14ac:dyDescent="0.45">
      <c r="A79" s="9" t="s">
        <v>376</v>
      </c>
      <c r="B79" s="125">
        <v>53886060</v>
      </c>
      <c r="C79" s="125">
        <v>53050773</v>
      </c>
      <c r="D79" s="125">
        <v>56338256</v>
      </c>
      <c r="E79" s="125">
        <v>63965147</v>
      </c>
      <c r="F79" s="125">
        <v>70738441</v>
      </c>
      <c r="G79" s="125">
        <v>78052058</v>
      </c>
    </row>
    <row r="80" spans="1:7" x14ac:dyDescent="0.45">
      <c r="A80" s="9" t="s">
        <v>377</v>
      </c>
      <c r="B80" s="125">
        <v>34497710</v>
      </c>
      <c r="C80" s="125">
        <v>34746217</v>
      </c>
      <c r="D80" s="125">
        <v>38864131</v>
      </c>
      <c r="E80" s="125">
        <v>43637070</v>
      </c>
      <c r="F80" s="125">
        <v>47397775</v>
      </c>
      <c r="G80" s="125">
        <v>53126981</v>
      </c>
    </row>
    <row r="81" spans="1:7" x14ac:dyDescent="0.45">
      <c r="A81" s="9" t="s">
        <v>378</v>
      </c>
      <c r="B81" s="125">
        <v>2416145</v>
      </c>
      <c r="C81" s="125">
        <v>2389515</v>
      </c>
      <c r="D81" s="125">
        <v>2097998</v>
      </c>
      <c r="E81" s="125">
        <v>2354401</v>
      </c>
      <c r="F81" s="125">
        <v>2515156</v>
      </c>
      <c r="G81" s="125">
        <v>2911556</v>
      </c>
    </row>
    <row r="82" spans="1:7" x14ac:dyDescent="0.45">
      <c r="A82" s="9" t="s">
        <v>379</v>
      </c>
      <c r="B82" s="125">
        <v>1723549</v>
      </c>
      <c r="C82" s="125">
        <v>2259157</v>
      </c>
      <c r="D82" s="125">
        <v>2182290</v>
      </c>
      <c r="E82" s="125">
        <v>2355904</v>
      </c>
      <c r="F82" s="125">
        <v>2946038</v>
      </c>
      <c r="G82" s="125">
        <v>3320261</v>
      </c>
    </row>
    <row r="83" spans="1:7" x14ac:dyDescent="0.45">
      <c r="A83" s="9" t="s">
        <v>380</v>
      </c>
      <c r="B83" s="125">
        <v>30358016</v>
      </c>
      <c r="C83" s="125">
        <v>30097545</v>
      </c>
      <c r="D83" s="125">
        <v>34583843</v>
      </c>
      <c r="E83" s="125">
        <v>38926765</v>
      </c>
      <c r="F83" s="125">
        <v>41936581</v>
      </c>
      <c r="G83" s="125">
        <v>46895164</v>
      </c>
    </row>
    <row r="84" spans="1:7" x14ac:dyDescent="0.45">
      <c r="A84" s="9" t="s">
        <v>381</v>
      </c>
      <c r="B84" s="125">
        <v>19388350</v>
      </c>
      <c r="C84" s="125">
        <v>18304556</v>
      </c>
      <c r="D84" s="125">
        <v>17474125</v>
      </c>
      <c r="E84" s="125">
        <v>20328077</v>
      </c>
      <c r="F84" s="125">
        <v>23340666</v>
      </c>
      <c r="G84" s="125">
        <v>24925077</v>
      </c>
    </row>
    <row r="85" spans="1:7" x14ac:dyDescent="0.45">
      <c r="A85" s="9" t="s">
        <v>382</v>
      </c>
      <c r="B85" s="125">
        <v>1130880</v>
      </c>
      <c r="C85" s="125">
        <v>1165055</v>
      </c>
      <c r="D85" s="125">
        <v>1357315</v>
      </c>
      <c r="E85" s="125">
        <v>1366493</v>
      </c>
      <c r="F85" s="125">
        <v>1529961</v>
      </c>
      <c r="G85" s="125">
        <v>1811781</v>
      </c>
    </row>
    <row r="86" spans="1:7" x14ac:dyDescent="0.45">
      <c r="A86" s="9" t="s">
        <v>383</v>
      </c>
      <c r="B86" s="125">
        <v>18257470</v>
      </c>
      <c r="C86" s="125">
        <v>17139501</v>
      </c>
      <c r="D86" s="125">
        <v>16116810</v>
      </c>
      <c r="E86" s="125">
        <v>18961584</v>
      </c>
      <c r="F86" s="125">
        <v>21810705</v>
      </c>
      <c r="G86" s="125">
        <v>23113296</v>
      </c>
    </row>
    <row r="87" spans="1:7" x14ac:dyDescent="0.45">
      <c r="A87" s="9" t="s">
        <v>384</v>
      </c>
      <c r="B87" s="125">
        <v>8977749</v>
      </c>
      <c r="C87" s="125">
        <v>9364426</v>
      </c>
      <c r="D87" s="125">
        <v>9820993</v>
      </c>
      <c r="E87" s="125">
        <v>10568189</v>
      </c>
      <c r="F87" s="125">
        <v>11400925</v>
      </c>
      <c r="G87" s="125">
        <v>13275844</v>
      </c>
    </row>
    <row r="88" spans="1:7" x14ac:dyDescent="0.45">
      <c r="A88" s="9" t="s">
        <v>385</v>
      </c>
      <c r="B88" s="125">
        <v>4132396</v>
      </c>
      <c r="C88" s="125">
        <v>4234532</v>
      </c>
      <c r="D88" s="125">
        <v>4464446</v>
      </c>
      <c r="E88" s="125">
        <v>4627251</v>
      </c>
      <c r="F88" s="125">
        <v>5102139</v>
      </c>
      <c r="G88" s="125">
        <v>6648191</v>
      </c>
    </row>
    <row r="89" spans="1:7" x14ac:dyDescent="0.45">
      <c r="A89" s="9" t="s">
        <v>386</v>
      </c>
      <c r="B89" s="125">
        <v>4132396</v>
      </c>
      <c r="C89" s="125">
        <v>4234532</v>
      </c>
      <c r="D89" s="125">
        <v>4464446</v>
      </c>
      <c r="E89" s="125">
        <v>4627251</v>
      </c>
      <c r="F89" s="125">
        <v>5102139</v>
      </c>
      <c r="G89" s="125">
        <v>6648191</v>
      </c>
    </row>
    <row r="90" spans="1:7" x14ac:dyDescent="0.45">
      <c r="A90" s="9" t="s">
        <v>387</v>
      </c>
      <c r="B90" s="125">
        <v>4845353</v>
      </c>
      <c r="C90" s="125">
        <v>5129894</v>
      </c>
      <c r="D90" s="125">
        <v>5356547</v>
      </c>
      <c r="E90" s="125">
        <v>5940938</v>
      </c>
      <c r="F90" s="125">
        <v>6298786</v>
      </c>
      <c r="G90" s="125">
        <v>6627653</v>
      </c>
    </row>
    <row r="91" spans="1:7" x14ac:dyDescent="0.45">
      <c r="A91" s="9" t="s">
        <v>388</v>
      </c>
      <c r="B91" s="125">
        <v>4845353</v>
      </c>
      <c r="C91" s="125">
        <v>5129894</v>
      </c>
      <c r="D91" s="125">
        <v>5356547</v>
      </c>
      <c r="E91" s="125">
        <v>5940938</v>
      </c>
      <c r="F91" s="125">
        <v>6298786</v>
      </c>
      <c r="G91" s="125">
        <v>6627653</v>
      </c>
    </row>
    <row r="92" spans="1:7" x14ac:dyDescent="0.45">
      <c r="A92" s="9" t="s">
        <v>389</v>
      </c>
      <c r="B92" s="125">
        <v>26121555</v>
      </c>
      <c r="C92" s="125">
        <v>27880046</v>
      </c>
      <c r="D92" s="125">
        <v>29908062</v>
      </c>
      <c r="E92" s="125">
        <v>31783004</v>
      </c>
      <c r="F92" s="125">
        <v>31843703</v>
      </c>
      <c r="G92" s="125">
        <v>47172253</v>
      </c>
    </row>
    <row r="93" spans="1:7" x14ac:dyDescent="0.45">
      <c r="A93" s="9" t="s">
        <v>390</v>
      </c>
      <c r="B93" s="125">
        <v>4053952</v>
      </c>
      <c r="C93" s="125">
        <v>4170871</v>
      </c>
      <c r="D93" s="125">
        <v>4602711</v>
      </c>
      <c r="E93" s="125">
        <v>4775516</v>
      </c>
      <c r="F93" s="125">
        <v>5043425</v>
      </c>
      <c r="G93" s="125">
        <v>7694187</v>
      </c>
    </row>
    <row r="94" spans="1:7" x14ac:dyDescent="0.45">
      <c r="A94" s="9" t="s">
        <v>391</v>
      </c>
      <c r="B94" s="125">
        <v>2647295</v>
      </c>
      <c r="C94" s="125">
        <v>2823928</v>
      </c>
      <c r="D94" s="125">
        <v>3309165</v>
      </c>
      <c r="E94" s="125">
        <v>3412695</v>
      </c>
      <c r="F94" s="125">
        <v>3502668</v>
      </c>
      <c r="G94" s="125">
        <v>5427062</v>
      </c>
    </row>
    <row r="95" spans="1:7" x14ac:dyDescent="0.45">
      <c r="A95" s="9" t="s">
        <v>392</v>
      </c>
      <c r="B95" s="125">
        <v>295825</v>
      </c>
      <c r="C95" s="125">
        <v>284375</v>
      </c>
      <c r="D95" s="125">
        <v>322920</v>
      </c>
      <c r="E95" s="125">
        <v>350626</v>
      </c>
      <c r="F95" s="125">
        <v>372095</v>
      </c>
      <c r="G95" s="125">
        <v>561028</v>
      </c>
    </row>
    <row r="96" spans="1:7" x14ac:dyDescent="0.45">
      <c r="A96" s="9" t="s">
        <v>393</v>
      </c>
      <c r="B96" s="125">
        <v>478426</v>
      </c>
      <c r="C96" s="125">
        <v>463101</v>
      </c>
      <c r="D96" s="125">
        <v>457181</v>
      </c>
      <c r="E96" s="125">
        <v>561891</v>
      </c>
      <c r="F96" s="125">
        <v>713825</v>
      </c>
      <c r="G96" s="125">
        <v>1135236</v>
      </c>
    </row>
    <row r="97" spans="1:7" x14ac:dyDescent="0.45">
      <c r="A97" s="9" t="s">
        <v>394</v>
      </c>
      <c r="B97" s="125">
        <v>632406</v>
      </c>
      <c r="C97" s="125">
        <v>599467</v>
      </c>
      <c r="D97" s="125">
        <v>513445</v>
      </c>
      <c r="E97" s="125">
        <v>450304</v>
      </c>
      <c r="F97" s="125">
        <v>454837</v>
      </c>
      <c r="G97" s="125">
        <v>570861</v>
      </c>
    </row>
    <row r="98" spans="1:7" x14ac:dyDescent="0.45">
      <c r="A98" s="9" t="s">
        <v>395</v>
      </c>
      <c r="B98" s="125">
        <v>9814590</v>
      </c>
      <c r="C98" s="125">
        <v>10157246</v>
      </c>
      <c r="D98" s="125">
        <v>10265178</v>
      </c>
      <c r="E98" s="125">
        <v>10613407</v>
      </c>
      <c r="F98" s="125">
        <v>10669368</v>
      </c>
      <c r="G98" s="125">
        <v>15416467</v>
      </c>
    </row>
    <row r="99" spans="1:7" x14ac:dyDescent="0.45">
      <c r="A99" s="9" t="s">
        <v>396</v>
      </c>
      <c r="B99" s="125">
        <v>6333815</v>
      </c>
      <c r="C99" s="125">
        <v>6483145</v>
      </c>
      <c r="D99" s="125">
        <v>6666611</v>
      </c>
      <c r="E99" s="125">
        <v>6987411</v>
      </c>
      <c r="F99" s="125">
        <v>6727522</v>
      </c>
      <c r="G99" s="125">
        <v>9909444</v>
      </c>
    </row>
    <row r="100" spans="1:7" x14ac:dyDescent="0.45">
      <c r="A100" s="9" t="s">
        <v>397</v>
      </c>
      <c r="B100" s="125">
        <v>138690</v>
      </c>
      <c r="C100" s="125">
        <v>135667</v>
      </c>
      <c r="D100" s="125">
        <v>141706</v>
      </c>
      <c r="E100" s="125">
        <v>173978</v>
      </c>
      <c r="F100" s="125">
        <v>402717</v>
      </c>
      <c r="G100" s="125">
        <v>537478</v>
      </c>
    </row>
    <row r="101" spans="1:7" x14ac:dyDescent="0.45">
      <c r="A101" s="9" t="s">
        <v>398</v>
      </c>
      <c r="B101" s="125">
        <v>3342085</v>
      </c>
      <c r="C101" s="125">
        <v>3538434</v>
      </c>
      <c r="D101" s="125">
        <v>3456861</v>
      </c>
      <c r="E101" s="125">
        <v>3452018</v>
      </c>
      <c r="F101" s="125">
        <v>3539129</v>
      </c>
      <c r="G101" s="125">
        <v>4969545</v>
      </c>
    </row>
    <row r="102" spans="1:7" x14ac:dyDescent="0.45">
      <c r="A102" s="9" t="s">
        <v>399</v>
      </c>
      <c r="B102" s="125">
        <v>3992843</v>
      </c>
      <c r="C102" s="125">
        <v>4499107</v>
      </c>
      <c r="D102" s="125">
        <v>5194166</v>
      </c>
      <c r="E102" s="125">
        <v>5621227</v>
      </c>
      <c r="F102" s="125">
        <v>4998930</v>
      </c>
      <c r="G102" s="125">
        <v>7260890</v>
      </c>
    </row>
    <row r="103" spans="1:7" x14ac:dyDescent="0.45">
      <c r="A103" s="9" t="s">
        <v>400</v>
      </c>
      <c r="B103" s="125">
        <v>3992843</v>
      </c>
      <c r="C103" s="125">
        <v>4499107</v>
      </c>
      <c r="D103" s="125">
        <v>5194166</v>
      </c>
      <c r="E103" s="125">
        <v>5621227</v>
      </c>
      <c r="F103" s="125">
        <v>4998930</v>
      </c>
      <c r="G103" s="125">
        <v>7260890</v>
      </c>
    </row>
    <row r="104" spans="1:7" x14ac:dyDescent="0.45">
      <c r="A104" s="9" t="s">
        <v>401</v>
      </c>
      <c r="B104" s="125">
        <v>1381006</v>
      </c>
      <c r="C104" s="125">
        <v>1430273</v>
      </c>
      <c r="D104" s="125">
        <v>1358839</v>
      </c>
      <c r="E104" s="125">
        <v>1486650</v>
      </c>
      <c r="F104" s="125">
        <v>1408759</v>
      </c>
      <c r="G104" s="125">
        <v>1979062</v>
      </c>
    </row>
    <row r="105" spans="1:7" x14ac:dyDescent="0.45">
      <c r="A105" s="9" t="s">
        <v>402</v>
      </c>
      <c r="B105" s="125">
        <v>1381006</v>
      </c>
      <c r="C105" s="125">
        <v>1430273</v>
      </c>
      <c r="D105" s="125">
        <v>1358839</v>
      </c>
      <c r="E105" s="125">
        <v>1486650</v>
      </c>
      <c r="F105" s="125">
        <v>1408759</v>
      </c>
      <c r="G105" s="125">
        <v>1979062</v>
      </c>
    </row>
    <row r="106" spans="1:7" x14ac:dyDescent="0.45">
      <c r="A106" s="9" t="s">
        <v>403</v>
      </c>
      <c r="B106" s="125">
        <v>6879164</v>
      </c>
      <c r="C106" s="125">
        <v>7622549</v>
      </c>
      <c r="D106" s="125">
        <v>8487168</v>
      </c>
      <c r="E106" s="125">
        <v>9286204</v>
      </c>
      <c r="F106" s="125">
        <v>9723221</v>
      </c>
      <c r="G106" s="125">
        <v>14821647</v>
      </c>
    </row>
    <row r="107" spans="1:7" x14ac:dyDescent="0.45">
      <c r="A107" s="9" t="s">
        <v>404</v>
      </c>
      <c r="B107" s="125">
        <v>1541865</v>
      </c>
      <c r="C107" s="125">
        <v>1734765</v>
      </c>
      <c r="D107" s="125">
        <v>1823431</v>
      </c>
      <c r="E107" s="125">
        <v>1982591</v>
      </c>
      <c r="F107" s="125">
        <v>1993600</v>
      </c>
      <c r="G107" s="125">
        <v>2718603</v>
      </c>
    </row>
    <row r="108" spans="1:7" x14ac:dyDescent="0.45">
      <c r="A108" s="9" t="s">
        <v>405</v>
      </c>
      <c r="B108" s="125">
        <v>374758</v>
      </c>
      <c r="C108" s="125">
        <v>465870</v>
      </c>
      <c r="D108" s="125">
        <v>531454</v>
      </c>
      <c r="E108" s="125">
        <v>551308</v>
      </c>
      <c r="F108" s="125">
        <v>547741</v>
      </c>
      <c r="G108" s="125">
        <v>893159</v>
      </c>
    </row>
    <row r="109" spans="1:7" x14ac:dyDescent="0.45">
      <c r="A109" s="9" t="s">
        <v>406</v>
      </c>
      <c r="B109" s="125">
        <v>418289</v>
      </c>
      <c r="C109" s="125">
        <v>455664</v>
      </c>
      <c r="D109" s="125">
        <v>473718</v>
      </c>
      <c r="E109" s="125">
        <v>510570</v>
      </c>
      <c r="F109" s="125">
        <v>459060</v>
      </c>
      <c r="G109" s="125">
        <v>637492</v>
      </c>
    </row>
    <row r="110" spans="1:7" x14ac:dyDescent="0.45">
      <c r="A110" s="9" t="s">
        <v>407</v>
      </c>
      <c r="B110" s="125">
        <v>3295171</v>
      </c>
      <c r="C110" s="125">
        <v>3573166</v>
      </c>
      <c r="D110" s="125">
        <v>3872675</v>
      </c>
      <c r="E110" s="125">
        <v>4328875</v>
      </c>
      <c r="F110" s="125">
        <v>4740487</v>
      </c>
      <c r="G110" s="125">
        <v>6887501</v>
      </c>
    </row>
    <row r="111" spans="1:7" x14ac:dyDescent="0.45">
      <c r="A111" s="9" t="s">
        <v>408</v>
      </c>
      <c r="B111" s="125">
        <v>1249081</v>
      </c>
      <c r="C111" s="125">
        <v>1393084</v>
      </c>
      <c r="D111" s="125">
        <v>1785890</v>
      </c>
      <c r="E111" s="125">
        <v>1912860</v>
      </c>
      <c r="F111" s="125">
        <v>1982333</v>
      </c>
      <c r="G111" s="125">
        <v>3684892</v>
      </c>
    </row>
    <row r="112" spans="1:7" x14ac:dyDescent="0.45">
      <c r="A112" s="9" t="s">
        <v>409</v>
      </c>
      <c r="B112" s="125">
        <v>22147146</v>
      </c>
      <c r="C112" s="125">
        <v>23031611</v>
      </c>
      <c r="D112" s="125">
        <v>22318709</v>
      </c>
      <c r="E112" s="125">
        <v>23066591</v>
      </c>
      <c r="F112" s="125">
        <v>21157195</v>
      </c>
      <c r="G112" s="125">
        <v>28757164</v>
      </c>
    </row>
    <row r="113" spans="1:7" x14ac:dyDescent="0.45">
      <c r="A113" s="9" t="s">
        <v>410</v>
      </c>
      <c r="B113" s="125">
        <v>21540768</v>
      </c>
      <c r="C113" s="125">
        <v>22470426</v>
      </c>
      <c r="D113" s="125">
        <v>21789187</v>
      </c>
      <c r="E113" s="125">
        <v>22505107</v>
      </c>
      <c r="F113" s="125">
        <v>20559078</v>
      </c>
      <c r="G113" s="125">
        <v>28097804</v>
      </c>
    </row>
    <row r="114" spans="1:7" x14ac:dyDescent="0.45">
      <c r="A114" s="9" t="s">
        <v>411</v>
      </c>
      <c r="B114" s="125">
        <v>2770671</v>
      </c>
      <c r="C114" s="125">
        <v>3004560</v>
      </c>
      <c r="D114" s="125">
        <v>2870668</v>
      </c>
      <c r="E114" s="125">
        <v>2895093</v>
      </c>
      <c r="F114" s="125">
        <v>2792166</v>
      </c>
      <c r="G114" s="125">
        <v>4024734</v>
      </c>
    </row>
    <row r="115" spans="1:7" x14ac:dyDescent="0.45">
      <c r="A115" s="9" t="s">
        <v>412</v>
      </c>
      <c r="B115" s="125">
        <v>18000745</v>
      </c>
      <c r="C115" s="125">
        <v>18259524</v>
      </c>
      <c r="D115" s="125">
        <v>17726289</v>
      </c>
      <c r="E115" s="125">
        <v>18464463</v>
      </c>
      <c r="F115" s="125">
        <v>16468774</v>
      </c>
      <c r="G115" s="125">
        <v>22439040</v>
      </c>
    </row>
    <row r="116" spans="1:7" x14ac:dyDescent="0.45">
      <c r="A116" s="9" t="s">
        <v>413</v>
      </c>
      <c r="B116" s="125">
        <v>535071</v>
      </c>
      <c r="C116" s="125">
        <v>975878</v>
      </c>
      <c r="D116" s="125">
        <v>940765</v>
      </c>
      <c r="E116" s="125">
        <v>870721</v>
      </c>
      <c r="F116" s="125">
        <v>1045615</v>
      </c>
      <c r="G116" s="125">
        <v>1305689</v>
      </c>
    </row>
    <row r="117" spans="1:7" x14ac:dyDescent="0.45">
      <c r="A117" s="9" t="s">
        <v>414</v>
      </c>
      <c r="B117" s="125">
        <v>234281</v>
      </c>
      <c r="C117" s="125">
        <v>230464</v>
      </c>
      <c r="D117" s="125">
        <v>251465</v>
      </c>
      <c r="E117" s="125">
        <v>274830</v>
      </c>
      <c r="F117" s="125">
        <v>252523</v>
      </c>
      <c r="G117" s="125">
        <v>328341</v>
      </c>
    </row>
    <row r="118" spans="1:7" x14ac:dyDescent="0.45">
      <c r="A118" s="9" t="s">
        <v>415</v>
      </c>
      <c r="B118" s="125">
        <v>606378</v>
      </c>
      <c r="C118" s="125">
        <v>561185</v>
      </c>
      <c r="D118" s="125">
        <v>529522</v>
      </c>
      <c r="E118" s="125">
        <v>561484</v>
      </c>
      <c r="F118" s="125">
        <v>598117</v>
      </c>
      <c r="G118" s="125">
        <v>659360</v>
      </c>
    </row>
    <row r="119" spans="1:7" x14ac:dyDescent="0.45">
      <c r="A119" s="9" t="s">
        <v>416</v>
      </c>
      <c r="B119" s="125">
        <v>517120</v>
      </c>
      <c r="C119" s="125">
        <v>493193</v>
      </c>
      <c r="D119" s="125">
        <v>459143</v>
      </c>
      <c r="E119" s="125">
        <v>492427</v>
      </c>
      <c r="F119" s="125">
        <v>527489</v>
      </c>
      <c r="G119" s="125">
        <v>576021</v>
      </c>
    </row>
    <row r="120" spans="1:7" x14ac:dyDescent="0.45">
      <c r="A120" s="9" t="s">
        <v>417</v>
      </c>
      <c r="B120" s="125">
        <v>89258</v>
      </c>
      <c r="C120" s="125">
        <v>67992</v>
      </c>
      <c r="D120" s="125">
        <v>70379</v>
      </c>
      <c r="E120" s="125">
        <v>69057</v>
      </c>
      <c r="F120" s="125">
        <v>70628</v>
      </c>
      <c r="G120" s="125">
        <v>83339</v>
      </c>
    </row>
    <row r="121" spans="1:7" x14ac:dyDescent="0.45">
      <c r="A121" s="9" t="s">
        <v>418</v>
      </c>
      <c r="B121" s="125">
        <v>23293168</v>
      </c>
      <c r="C121" s="125">
        <v>23114693</v>
      </c>
      <c r="D121" s="125">
        <v>21836739</v>
      </c>
      <c r="E121" s="125">
        <v>21874814</v>
      </c>
      <c r="F121" s="125">
        <v>18685104</v>
      </c>
      <c r="G121" s="125">
        <v>26841751</v>
      </c>
    </row>
    <row r="122" spans="1:7" x14ac:dyDescent="0.45">
      <c r="A122" s="9" t="s">
        <v>419</v>
      </c>
      <c r="B122" s="125">
        <v>7196773</v>
      </c>
      <c r="C122" s="125">
        <v>6963970</v>
      </c>
      <c r="D122" s="125">
        <v>5094282</v>
      </c>
      <c r="E122" s="125">
        <v>4306566</v>
      </c>
      <c r="F122" s="125">
        <v>3959718</v>
      </c>
      <c r="G122" s="125">
        <v>7473727</v>
      </c>
    </row>
    <row r="123" spans="1:7" x14ac:dyDescent="0.45">
      <c r="A123" s="9" t="s">
        <v>420</v>
      </c>
      <c r="B123" s="125">
        <v>7196773</v>
      </c>
      <c r="C123" s="125">
        <v>6963970</v>
      </c>
      <c r="D123" s="125">
        <v>5094282</v>
      </c>
      <c r="E123" s="125">
        <v>4306566</v>
      </c>
      <c r="F123" s="125">
        <v>3959718</v>
      </c>
      <c r="G123" s="125">
        <v>7473727</v>
      </c>
    </row>
    <row r="124" spans="1:7" x14ac:dyDescent="0.45">
      <c r="A124" s="9" t="s">
        <v>421</v>
      </c>
      <c r="B124" s="125">
        <v>764158</v>
      </c>
      <c r="C124" s="125">
        <v>759274</v>
      </c>
      <c r="D124" s="125">
        <v>707642</v>
      </c>
      <c r="E124" s="125">
        <v>782644</v>
      </c>
      <c r="F124" s="125">
        <v>707205</v>
      </c>
      <c r="G124" s="125">
        <v>969207</v>
      </c>
    </row>
    <row r="125" spans="1:7" x14ac:dyDescent="0.45">
      <c r="A125" s="9" t="s">
        <v>422</v>
      </c>
      <c r="B125" s="125">
        <v>568450</v>
      </c>
      <c r="C125" s="125">
        <v>608206</v>
      </c>
      <c r="D125" s="125">
        <v>539357</v>
      </c>
      <c r="E125" s="125">
        <v>520803</v>
      </c>
      <c r="F125" s="125">
        <v>427408</v>
      </c>
      <c r="G125" s="125">
        <v>671680</v>
      </c>
    </row>
    <row r="126" spans="1:7" x14ac:dyDescent="0.45">
      <c r="A126" s="9" t="s">
        <v>423</v>
      </c>
      <c r="B126" s="125">
        <v>195708</v>
      </c>
      <c r="C126" s="125">
        <v>151068</v>
      </c>
      <c r="D126" s="125">
        <v>168285</v>
      </c>
      <c r="E126" s="125">
        <v>261841</v>
      </c>
      <c r="F126" s="125">
        <v>279797</v>
      </c>
      <c r="G126" s="125">
        <v>297527</v>
      </c>
    </row>
    <row r="127" spans="1:7" x14ac:dyDescent="0.45">
      <c r="A127" s="9" t="s">
        <v>424</v>
      </c>
      <c r="B127" s="125">
        <v>14219224</v>
      </c>
      <c r="C127" s="125">
        <v>14361157</v>
      </c>
      <c r="D127" s="125">
        <v>14892786</v>
      </c>
      <c r="E127" s="125">
        <v>15604085</v>
      </c>
      <c r="F127" s="125">
        <v>12901570</v>
      </c>
      <c r="G127" s="125">
        <v>17042657</v>
      </c>
    </row>
    <row r="128" spans="1:7" x14ac:dyDescent="0.45">
      <c r="A128" s="9" t="s">
        <v>425</v>
      </c>
      <c r="B128" s="125">
        <v>6408938</v>
      </c>
      <c r="C128" s="125">
        <v>5784018</v>
      </c>
      <c r="D128" s="125">
        <v>6030819</v>
      </c>
      <c r="E128" s="125">
        <v>5732269</v>
      </c>
      <c r="F128" s="125">
        <v>4596527</v>
      </c>
      <c r="G128" s="125">
        <v>6311567</v>
      </c>
    </row>
    <row r="129" spans="1:7" x14ac:dyDescent="0.45">
      <c r="A129" s="9" t="s">
        <v>426</v>
      </c>
      <c r="B129" s="125">
        <v>1158130</v>
      </c>
      <c r="C129" s="125">
        <v>1164100</v>
      </c>
      <c r="D129" s="125">
        <v>1278961</v>
      </c>
      <c r="E129" s="125">
        <v>1212125</v>
      </c>
      <c r="F129" s="125">
        <v>1023731</v>
      </c>
      <c r="G129" s="125">
        <v>1430623</v>
      </c>
    </row>
    <row r="130" spans="1:7" x14ac:dyDescent="0.45">
      <c r="A130" s="9" t="s">
        <v>427</v>
      </c>
      <c r="B130" s="125">
        <v>4659729</v>
      </c>
      <c r="C130" s="125">
        <v>6927930</v>
      </c>
      <c r="D130" s="125">
        <v>7175829</v>
      </c>
      <c r="E130" s="125">
        <v>8353222</v>
      </c>
      <c r="F130" s="125">
        <v>6969359</v>
      </c>
      <c r="G130" s="125">
        <v>8929968</v>
      </c>
    </row>
    <row r="131" spans="1:7" x14ac:dyDescent="0.45">
      <c r="A131" s="9" t="s">
        <v>428</v>
      </c>
      <c r="B131" s="125">
        <v>1992427</v>
      </c>
      <c r="C131" s="125">
        <v>485109</v>
      </c>
      <c r="D131" s="125">
        <v>407177</v>
      </c>
      <c r="E131" s="125">
        <v>306469</v>
      </c>
      <c r="F131" s="125">
        <v>311953</v>
      </c>
      <c r="G131" s="125">
        <v>370499</v>
      </c>
    </row>
    <row r="132" spans="1:7" x14ac:dyDescent="0.45">
      <c r="A132" s="9" t="s">
        <v>429</v>
      </c>
      <c r="B132" s="125">
        <v>1113013</v>
      </c>
      <c r="C132" s="125">
        <v>1030292</v>
      </c>
      <c r="D132" s="125">
        <v>1142029</v>
      </c>
      <c r="E132" s="125">
        <v>1181519</v>
      </c>
      <c r="F132" s="125">
        <v>1116611</v>
      </c>
      <c r="G132" s="125">
        <v>1356160</v>
      </c>
    </row>
    <row r="133" spans="1:7" x14ac:dyDescent="0.45">
      <c r="A133" s="9" t="s">
        <v>430</v>
      </c>
      <c r="B133" s="125">
        <v>1113013</v>
      </c>
      <c r="C133" s="125">
        <v>1030292</v>
      </c>
      <c r="D133" s="125">
        <v>1142029</v>
      </c>
      <c r="E133" s="125">
        <v>1181519</v>
      </c>
      <c r="F133" s="125">
        <v>1116611</v>
      </c>
      <c r="G133" s="125">
        <v>1356160</v>
      </c>
    </row>
    <row r="134" spans="1:7" x14ac:dyDescent="0.45">
      <c r="A134" s="9" t="s">
        <v>431</v>
      </c>
      <c r="B134" s="125">
        <v>12527910</v>
      </c>
      <c r="C134" s="125">
        <v>13241492</v>
      </c>
      <c r="D134" s="125">
        <v>16873983</v>
      </c>
      <c r="E134" s="125">
        <v>16561077</v>
      </c>
      <c r="F134" s="125">
        <v>18528714</v>
      </c>
      <c r="G134" s="125">
        <v>28544448</v>
      </c>
    </row>
    <row r="135" spans="1:7" x14ac:dyDescent="0.45">
      <c r="A135" s="9" t="s">
        <v>432</v>
      </c>
      <c r="B135" s="125">
        <v>3027648</v>
      </c>
      <c r="C135" s="125">
        <v>3116387</v>
      </c>
      <c r="D135" s="125">
        <v>3915486</v>
      </c>
      <c r="E135" s="125">
        <v>4399858</v>
      </c>
      <c r="F135" s="125">
        <v>5217204</v>
      </c>
      <c r="G135" s="125">
        <v>6987600</v>
      </c>
    </row>
    <row r="136" spans="1:7" x14ac:dyDescent="0.45">
      <c r="A136" s="9" t="s">
        <v>433</v>
      </c>
      <c r="B136" s="125">
        <v>3027648</v>
      </c>
      <c r="C136" s="125">
        <v>3116387</v>
      </c>
      <c r="D136" s="125">
        <v>3915486</v>
      </c>
      <c r="E136" s="125">
        <v>4399858</v>
      </c>
      <c r="F136" s="125">
        <v>5217204</v>
      </c>
      <c r="G136" s="125">
        <v>6987600</v>
      </c>
    </row>
    <row r="137" spans="1:7" x14ac:dyDescent="0.45">
      <c r="A137" s="9" t="s">
        <v>434</v>
      </c>
      <c r="B137" s="125">
        <v>9500262</v>
      </c>
      <c r="C137" s="125">
        <v>10125105</v>
      </c>
      <c r="D137" s="125">
        <v>12958497</v>
      </c>
      <c r="E137" s="125">
        <v>12161219</v>
      </c>
      <c r="F137" s="125">
        <v>13311510</v>
      </c>
      <c r="G137" s="125">
        <v>21556848</v>
      </c>
    </row>
    <row r="138" spans="1:7" x14ac:dyDescent="0.45">
      <c r="A138" s="9" t="s">
        <v>435</v>
      </c>
      <c r="B138" s="125">
        <v>7254414</v>
      </c>
      <c r="C138" s="125">
        <v>7799926</v>
      </c>
      <c r="D138" s="125">
        <v>10180271</v>
      </c>
      <c r="E138" s="125">
        <v>9454275</v>
      </c>
      <c r="F138" s="125">
        <v>10065637</v>
      </c>
      <c r="G138" s="125">
        <v>16668021</v>
      </c>
    </row>
    <row r="139" spans="1:7" x14ac:dyDescent="0.45">
      <c r="A139" s="9" t="s">
        <v>436</v>
      </c>
      <c r="B139" s="125">
        <v>988630</v>
      </c>
      <c r="C139" s="125">
        <v>1022069</v>
      </c>
      <c r="D139" s="125">
        <v>1235614</v>
      </c>
      <c r="E139" s="125">
        <v>1265386</v>
      </c>
      <c r="F139" s="125">
        <v>1604088</v>
      </c>
      <c r="G139" s="125">
        <v>2460697</v>
      </c>
    </row>
    <row r="140" spans="1:7" x14ac:dyDescent="0.45">
      <c r="A140" s="9" t="s">
        <v>437</v>
      </c>
      <c r="B140" s="125">
        <v>794989</v>
      </c>
      <c r="C140" s="125">
        <v>806112</v>
      </c>
      <c r="D140" s="125">
        <v>965049</v>
      </c>
      <c r="E140" s="125">
        <v>870142</v>
      </c>
      <c r="F140" s="125">
        <v>956655</v>
      </c>
      <c r="G140" s="125">
        <v>1533393</v>
      </c>
    </row>
    <row r="141" spans="1:7" x14ac:dyDescent="0.45">
      <c r="A141" s="9" t="s">
        <v>438</v>
      </c>
      <c r="B141" s="125">
        <v>462229</v>
      </c>
      <c r="C141" s="125">
        <v>496998</v>
      </c>
      <c r="D141" s="125">
        <v>577563</v>
      </c>
      <c r="E141" s="125">
        <v>571416</v>
      </c>
      <c r="F141" s="125">
        <v>685130</v>
      </c>
      <c r="G141" s="125">
        <v>894737</v>
      </c>
    </row>
    <row r="142" spans="1:7" x14ac:dyDescent="0.45">
      <c r="A142" s="9" t="s">
        <v>439</v>
      </c>
      <c r="B142" s="125">
        <v>55895003</v>
      </c>
      <c r="C142" s="125">
        <v>55384103</v>
      </c>
      <c r="D142" s="125">
        <v>67822673</v>
      </c>
      <c r="E142" s="125">
        <v>72679910</v>
      </c>
      <c r="F142" s="125">
        <v>78560470</v>
      </c>
      <c r="G142" s="125">
        <v>110585222</v>
      </c>
    </row>
    <row r="143" spans="1:7" x14ac:dyDescent="0.45">
      <c r="A143" s="9" t="s">
        <v>440</v>
      </c>
      <c r="B143" s="125">
        <v>15472409</v>
      </c>
      <c r="C143" s="125">
        <v>15443525</v>
      </c>
      <c r="D143" s="125">
        <v>26743594</v>
      </c>
      <c r="E143" s="125">
        <v>21413397</v>
      </c>
      <c r="F143" s="125">
        <v>23900360</v>
      </c>
      <c r="G143" s="125">
        <v>49380947</v>
      </c>
    </row>
    <row r="144" spans="1:7" x14ac:dyDescent="0.45">
      <c r="A144" s="9" t="s">
        <v>441</v>
      </c>
      <c r="B144" s="125">
        <v>15472409</v>
      </c>
      <c r="C144" s="125">
        <v>15443525</v>
      </c>
      <c r="D144" s="125">
        <v>26743594</v>
      </c>
      <c r="E144" s="125">
        <v>21413397</v>
      </c>
      <c r="F144" s="125">
        <v>23900360</v>
      </c>
      <c r="G144" s="125">
        <v>49380947</v>
      </c>
    </row>
    <row r="145" spans="1:7" x14ac:dyDescent="0.45">
      <c r="A145" s="9" t="s">
        <v>442</v>
      </c>
      <c r="B145" s="125">
        <v>15711347</v>
      </c>
      <c r="C145" s="125">
        <v>15318944</v>
      </c>
      <c r="D145" s="125">
        <v>13037043</v>
      </c>
      <c r="E145" s="125">
        <v>22291775</v>
      </c>
      <c r="F145" s="125">
        <v>21707071</v>
      </c>
      <c r="G145" s="125">
        <v>19593158</v>
      </c>
    </row>
    <row r="146" spans="1:7" x14ac:dyDescent="0.45">
      <c r="A146" s="9" t="s">
        <v>443</v>
      </c>
      <c r="B146" s="125">
        <v>10476292</v>
      </c>
      <c r="C146" s="125">
        <v>9396262</v>
      </c>
      <c r="D146" s="125">
        <v>10844048</v>
      </c>
      <c r="E146" s="125">
        <v>12618862</v>
      </c>
      <c r="F146" s="125">
        <v>19275117</v>
      </c>
      <c r="G146" s="125">
        <v>16113033</v>
      </c>
    </row>
    <row r="147" spans="1:7" x14ac:dyDescent="0.45">
      <c r="A147" s="9" t="s">
        <v>444</v>
      </c>
      <c r="B147" s="125">
        <v>5235055</v>
      </c>
      <c r="C147" s="125">
        <v>5922682</v>
      </c>
      <c r="D147" s="125">
        <v>2192995</v>
      </c>
      <c r="E147" s="125">
        <v>9672913</v>
      </c>
      <c r="F147" s="125">
        <v>2431954</v>
      </c>
      <c r="G147" s="125">
        <v>3480125</v>
      </c>
    </row>
    <row r="148" spans="1:7" x14ac:dyDescent="0.45">
      <c r="A148" s="9" t="s">
        <v>445</v>
      </c>
      <c r="B148" s="125">
        <v>11454621</v>
      </c>
      <c r="C148" s="125">
        <v>11721122</v>
      </c>
      <c r="D148" s="125">
        <v>13231234</v>
      </c>
      <c r="E148" s="125">
        <v>13878497</v>
      </c>
      <c r="F148" s="125">
        <v>17370694</v>
      </c>
      <c r="G148" s="125">
        <v>22644263</v>
      </c>
    </row>
    <row r="149" spans="1:7" x14ac:dyDescent="0.45">
      <c r="A149" s="9" t="s">
        <v>446</v>
      </c>
      <c r="B149" s="125">
        <v>1823354</v>
      </c>
      <c r="C149" s="125">
        <v>1712519</v>
      </c>
      <c r="D149" s="125">
        <v>1864190</v>
      </c>
      <c r="E149" s="125">
        <v>1956749</v>
      </c>
      <c r="F149" s="125">
        <v>2803079</v>
      </c>
      <c r="G149" s="125">
        <v>3877250</v>
      </c>
    </row>
    <row r="150" spans="1:7" x14ac:dyDescent="0.45">
      <c r="A150" s="9" t="s">
        <v>447</v>
      </c>
      <c r="B150" s="125">
        <v>4580831</v>
      </c>
      <c r="C150" s="125">
        <v>4287676</v>
      </c>
      <c r="D150" s="125">
        <v>4892152</v>
      </c>
      <c r="E150" s="125">
        <v>5018852</v>
      </c>
      <c r="F150" s="125">
        <v>6690140</v>
      </c>
      <c r="G150" s="125">
        <v>7124770</v>
      </c>
    </row>
    <row r="151" spans="1:7" x14ac:dyDescent="0.45">
      <c r="A151" s="9" t="s">
        <v>448</v>
      </c>
      <c r="B151" s="125">
        <v>5050436</v>
      </c>
      <c r="C151" s="125">
        <v>5720927</v>
      </c>
      <c r="D151" s="125">
        <v>6474892</v>
      </c>
      <c r="E151" s="125">
        <v>6902896</v>
      </c>
      <c r="F151" s="125">
        <v>7877475</v>
      </c>
      <c r="G151" s="125">
        <v>11642243</v>
      </c>
    </row>
    <row r="152" spans="1:7" x14ac:dyDescent="0.45">
      <c r="A152" s="9" t="s">
        <v>449</v>
      </c>
      <c r="B152" s="125">
        <v>13256626</v>
      </c>
      <c r="C152" s="125">
        <v>12900512</v>
      </c>
      <c r="D152" s="125">
        <v>14810802</v>
      </c>
      <c r="E152" s="125">
        <v>15096241</v>
      </c>
      <c r="F152" s="125">
        <v>15582345</v>
      </c>
      <c r="G152" s="125">
        <v>18966854</v>
      </c>
    </row>
    <row r="153" spans="1:7" x14ac:dyDescent="0.45">
      <c r="A153" s="9" t="s">
        <v>450</v>
      </c>
      <c r="B153" s="125">
        <v>2490815</v>
      </c>
      <c r="C153" s="125">
        <v>2412616</v>
      </c>
      <c r="D153" s="125">
        <v>2326819</v>
      </c>
      <c r="E153" s="125">
        <v>2389082</v>
      </c>
      <c r="F153" s="125">
        <v>1983071</v>
      </c>
      <c r="G153" s="125">
        <v>2323767</v>
      </c>
    </row>
    <row r="154" spans="1:7" x14ac:dyDescent="0.45">
      <c r="A154" s="9" t="s">
        <v>451</v>
      </c>
      <c r="B154" s="125">
        <v>9874671</v>
      </c>
      <c r="C154" s="125">
        <v>9523821</v>
      </c>
      <c r="D154" s="125">
        <v>11340625</v>
      </c>
      <c r="E154" s="125">
        <v>11416592</v>
      </c>
      <c r="F154" s="125">
        <v>12224959</v>
      </c>
      <c r="G154" s="125">
        <v>14607563</v>
      </c>
    </row>
    <row r="155" spans="1:7" x14ac:dyDescent="0.45">
      <c r="A155" s="9" t="s">
        <v>452</v>
      </c>
      <c r="B155" s="125">
        <v>891140</v>
      </c>
      <c r="C155" s="125">
        <v>964075</v>
      </c>
      <c r="D155" s="125">
        <v>1143358</v>
      </c>
      <c r="E155" s="125">
        <v>1290567</v>
      </c>
      <c r="F155" s="125">
        <v>1374315</v>
      </c>
      <c r="G155" s="125">
        <v>2035524</v>
      </c>
    </row>
    <row r="156" spans="1:7" x14ac:dyDescent="0.45">
      <c r="A156" s="9" t="s">
        <v>453</v>
      </c>
      <c r="B156" s="125">
        <v>7313734</v>
      </c>
      <c r="C156" s="125">
        <v>6026398</v>
      </c>
      <c r="D156" s="125">
        <v>6131731</v>
      </c>
      <c r="E156" s="125">
        <v>6950257</v>
      </c>
      <c r="F156" s="125">
        <v>6544158</v>
      </c>
      <c r="G156" s="125">
        <v>7564961</v>
      </c>
    </row>
    <row r="157" spans="1:7" x14ac:dyDescent="0.45">
      <c r="A157" s="9" t="s">
        <v>454</v>
      </c>
      <c r="B157" s="125">
        <v>6104846</v>
      </c>
      <c r="C157" s="125">
        <v>4857438</v>
      </c>
      <c r="D157" s="125">
        <v>5145824</v>
      </c>
      <c r="E157" s="125">
        <v>5884363</v>
      </c>
      <c r="F157" s="125">
        <v>5548025</v>
      </c>
      <c r="G157" s="125">
        <v>6718198</v>
      </c>
    </row>
    <row r="158" spans="1:7" x14ac:dyDescent="0.45">
      <c r="A158" s="9" t="s">
        <v>455</v>
      </c>
      <c r="B158" s="125">
        <v>1732051</v>
      </c>
      <c r="C158" s="125">
        <v>1430083</v>
      </c>
      <c r="D158" s="125">
        <v>1630341</v>
      </c>
      <c r="E158" s="125">
        <v>1778223</v>
      </c>
      <c r="F158" s="125">
        <v>1430614</v>
      </c>
      <c r="G158" s="125">
        <v>1738424</v>
      </c>
    </row>
    <row r="159" spans="1:7" x14ac:dyDescent="0.45">
      <c r="A159" s="9" t="s">
        <v>456</v>
      </c>
      <c r="B159" s="125">
        <v>2167292</v>
      </c>
      <c r="C159" s="125">
        <v>1011801</v>
      </c>
      <c r="D159" s="125">
        <v>1060126</v>
      </c>
      <c r="E159" s="125">
        <v>1354404</v>
      </c>
      <c r="F159" s="125">
        <v>1470770</v>
      </c>
      <c r="G159" s="125">
        <v>1988919</v>
      </c>
    </row>
    <row r="160" spans="1:7" x14ac:dyDescent="0.45">
      <c r="A160" s="9" t="s">
        <v>457</v>
      </c>
      <c r="B160" s="125">
        <v>2205503</v>
      </c>
      <c r="C160" s="125">
        <v>2415554</v>
      </c>
      <c r="D160" s="125">
        <v>2455357</v>
      </c>
      <c r="E160" s="125">
        <v>2751736</v>
      </c>
      <c r="F160" s="125">
        <v>2646641</v>
      </c>
      <c r="G160" s="125">
        <v>2990855</v>
      </c>
    </row>
    <row r="161" spans="1:7" x14ac:dyDescent="0.45">
      <c r="A161" s="9" t="s">
        <v>458</v>
      </c>
      <c r="B161" s="125">
        <v>740018</v>
      </c>
      <c r="C161" s="125">
        <v>670633</v>
      </c>
      <c r="D161" s="125">
        <v>721991</v>
      </c>
      <c r="E161" s="125">
        <v>830670</v>
      </c>
      <c r="F161" s="125">
        <v>818158</v>
      </c>
      <c r="G161" s="125">
        <v>686349</v>
      </c>
    </row>
    <row r="162" spans="1:7" x14ac:dyDescent="0.45">
      <c r="A162" s="9" t="s">
        <v>459</v>
      </c>
      <c r="B162" s="125">
        <v>557281</v>
      </c>
      <c r="C162" s="125">
        <v>508566</v>
      </c>
      <c r="D162" s="125">
        <v>570915</v>
      </c>
      <c r="E162" s="125">
        <v>658390</v>
      </c>
      <c r="F162" s="125">
        <v>656822</v>
      </c>
      <c r="G162" s="125">
        <v>385628</v>
      </c>
    </row>
    <row r="163" spans="1:7" x14ac:dyDescent="0.45">
      <c r="A163" s="9" t="s">
        <v>460</v>
      </c>
      <c r="B163" s="125">
        <v>182737</v>
      </c>
      <c r="C163" s="125">
        <v>162067</v>
      </c>
      <c r="D163" s="125">
        <v>151076</v>
      </c>
      <c r="E163" s="125">
        <v>172280</v>
      </c>
      <c r="F163" s="125">
        <v>161336</v>
      </c>
      <c r="G163" s="125">
        <v>300721</v>
      </c>
    </row>
    <row r="164" spans="1:7" x14ac:dyDescent="0.45">
      <c r="A164" s="9" t="s">
        <v>461</v>
      </c>
      <c r="B164" s="125">
        <v>468870</v>
      </c>
      <c r="C164" s="125">
        <v>498327</v>
      </c>
      <c r="D164" s="125">
        <v>263916</v>
      </c>
      <c r="E164" s="125">
        <v>235224</v>
      </c>
      <c r="F164" s="125">
        <v>177975</v>
      </c>
      <c r="G164" s="125">
        <v>160414</v>
      </c>
    </row>
    <row r="165" spans="1:7" x14ac:dyDescent="0.45">
      <c r="A165" s="9" t="s">
        <v>462</v>
      </c>
      <c r="B165" s="125">
        <v>468870</v>
      </c>
      <c r="C165" s="125">
        <v>498327</v>
      </c>
      <c r="D165" s="125">
        <v>263916</v>
      </c>
      <c r="E165" s="125">
        <v>235224</v>
      </c>
      <c r="F165" s="125">
        <v>177975</v>
      </c>
      <c r="G165" s="125">
        <v>160414</v>
      </c>
    </row>
    <row r="166" spans="1:7" x14ac:dyDescent="0.45">
      <c r="A166" s="9" t="s">
        <v>463</v>
      </c>
      <c r="B166" s="125">
        <v>154193687</v>
      </c>
      <c r="C166" s="125">
        <v>181555850</v>
      </c>
      <c r="D166" s="125">
        <v>213991587</v>
      </c>
      <c r="E166" s="125">
        <v>225958975</v>
      </c>
      <c r="F166" s="125">
        <v>172420948</v>
      </c>
      <c r="G166" s="125">
        <v>269133291</v>
      </c>
    </row>
    <row r="167" spans="1:7" x14ac:dyDescent="0.45">
      <c r="A167" s="9" t="s">
        <v>464</v>
      </c>
      <c r="B167" s="125">
        <v>131494</v>
      </c>
      <c r="C167" s="125" t="s">
        <v>34</v>
      </c>
      <c r="D167" s="125">
        <v>51887</v>
      </c>
      <c r="E167" s="125">
        <v>95973</v>
      </c>
      <c r="F167" s="125">
        <v>92781</v>
      </c>
      <c r="G167" s="125" t="s">
        <v>34</v>
      </c>
    </row>
    <row r="168" spans="1:7" x14ac:dyDescent="0.45">
      <c r="A168" s="9" t="s">
        <v>465</v>
      </c>
      <c r="B168" s="125">
        <v>131494</v>
      </c>
      <c r="C168" s="125" t="s">
        <v>34</v>
      </c>
      <c r="D168" s="125">
        <v>51887</v>
      </c>
      <c r="E168" s="125">
        <v>95973</v>
      </c>
      <c r="F168" s="125">
        <v>92781</v>
      </c>
      <c r="G168" s="125" t="s">
        <v>34</v>
      </c>
    </row>
    <row r="169" spans="1:7" x14ac:dyDescent="0.45">
      <c r="A169" s="9" t="s">
        <v>466</v>
      </c>
      <c r="B169" s="125">
        <v>129954860</v>
      </c>
      <c r="C169" s="125" t="s">
        <v>34</v>
      </c>
      <c r="D169" s="125">
        <v>174950228</v>
      </c>
      <c r="E169" s="125">
        <v>172597360</v>
      </c>
      <c r="F169" s="125">
        <v>125900174</v>
      </c>
      <c r="G169" s="125" t="s">
        <v>34</v>
      </c>
    </row>
    <row r="170" spans="1:7" x14ac:dyDescent="0.45">
      <c r="A170" s="9" t="s">
        <v>467</v>
      </c>
      <c r="B170" s="125">
        <v>124684928</v>
      </c>
      <c r="C170" s="125" t="s">
        <v>34</v>
      </c>
      <c r="D170" s="125">
        <v>167814079</v>
      </c>
      <c r="E170" s="125">
        <v>164574181</v>
      </c>
      <c r="F170" s="125">
        <v>116854020</v>
      </c>
      <c r="G170" s="125" t="s">
        <v>34</v>
      </c>
    </row>
    <row r="171" spans="1:7" x14ac:dyDescent="0.45">
      <c r="A171" s="9" t="s">
        <v>468</v>
      </c>
      <c r="B171" s="125">
        <v>5269932</v>
      </c>
      <c r="C171" s="125">
        <v>5543224</v>
      </c>
      <c r="D171" s="125">
        <v>7136149</v>
      </c>
      <c r="E171" s="125">
        <v>8023179</v>
      </c>
      <c r="F171" s="125">
        <v>9046154</v>
      </c>
      <c r="G171" s="125">
        <v>16916315</v>
      </c>
    </row>
    <row r="172" spans="1:7" x14ac:dyDescent="0.45">
      <c r="A172" s="9" t="s">
        <v>469</v>
      </c>
      <c r="B172" s="125">
        <v>24107333</v>
      </c>
      <c r="C172" s="125">
        <v>24863316</v>
      </c>
      <c r="D172" s="125">
        <v>38989472</v>
      </c>
      <c r="E172" s="125">
        <v>53265642</v>
      </c>
      <c r="F172" s="125">
        <v>46427993</v>
      </c>
      <c r="G172" s="125">
        <v>83316704</v>
      </c>
    </row>
    <row r="173" spans="1:7" x14ac:dyDescent="0.45">
      <c r="A173" s="9" t="s">
        <v>470</v>
      </c>
      <c r="B173" s="125">
        <v>21681459</v>
      </c>
      <c r="C173" s="125">
        <v>22325130</v>
      </c>
      <c r="D173" s="125">
        <v>32744877</v>
      </c>
      <c r="E173" s="125">
        <v>46310404</v>
      </c>
      <c r="F173" s="125">
        <v>34071657</v>
      </c>
      <c r="G173" s="125">
        <v>55253767</v>
      </c>
    </row>
    <row r="174" spans="1:7" x14ac:dyDescent="0.45">
      <c r="A174" s="9" t="s">
        <v>471</v>
      </c>
      <c r="B174" s="125">
        <v>2425874</v>
      </c>
      <c r="C174" s="125">
        <v>2538186</v>
      </c>
      <c r="D174" s="125">
        <v>6244595</v>
      </c>
      <c r="E174" s="125">
        <v>6955238</v>
      </c>
      <c r="F174" s="125">
        <v>12356336</v>
      </c>
      <c r="G174" s="125">
        <v>28062937</v>
      </c>
    </row>
    <row r="175" spans="1:7" x14ac:dyDescent="0.45">
      <c r="A175" s="9" t="s">
        <v>191</v>
      </c>
      <c r="B175" s="125">
        <v>196788752</v>
      </c>
      <c r="C175" s="125">
        <v>202843773</v>
      </c>
      <c r="D175" s="125">
        <v>242663838</v>
      </c>
      <c r="E175" s="125">
        <v>262383271</v>
      </c>
      <c r="F175" s="125">
        <v>295949000</v>
      </c>
      <c r="G175" s="125">
        <v>421261207</v>
      </c>
    </row>
    <row r="176" spans="1:7" x14ac:dyDescent="0.45">
      <c r="A176" s="9" t="s">
        <v>472</v>
      </c>
      <c r="B176" s="125">
        <v>53276208</v>
      </c>
      <c r="C176" s="125">
        <v>51960100</v>
      </c>
      <c r="D176" s="125">
        <v>65338742</v>
      </c>
      <c r="E176" s="125">
        <v>75525583</v>
      </c>
      <c r="F176" s="125">
        <v>85402241</v>
      </c>
      <c r="G176" s="125">
        <v>139883899</v>
      </c>
    </row>
    <row r="177" spans="1:7" x14ac:dyDescent="0.45">
      <c r="A177" s="9" t="s">
        <v>473</v>
      </c>
      <c r="B177" s="125">
        <v>901661</v>
      </c>
      <c r="C177" s="125">
        <v>883684</v>
      </c>
      <c r="D177" s="125">
        <v>954639</v>
      </c>
      <c r="E177" s="125">
        <v>1107270</v>
      </c>
      <c r="F177" s="125">
        <v>1469335</v>
      </c>
      <c r="G177" s="125">
        <v>2124836</v>
      </c>
    </row>
    <row r="178" spans="1:7" x14ac:dyDescent="0.45">
      <c r="A178" s="9" t="s">
        <v>192</v>
      </c>
      <c r="B178" s="125">
        <v>6583817</v>
      </c>
      <c r="C178" s="125">
        <v>5895539</v>
      </c>
      <c r="D178" s="125">
        <v>9038778</v>
      </c>
      <c r="E178" s="125">
        <v>9180467</v>
      </c>
      <c r="F178" s="125">
        <v>9690341</v>
      </c>
      <c r="G178" s="125">
        <v>15731977</v>
      </c>
    </row>
    <row r="179" spans="1:7" x14ac:dyDescent="0.45">
      <c r="A179" s="9" t="s">
        <v>193</v>
      </c>
      <c r="B179" s="125">
        <v>37762465</v>
      </c>
      <c r="C179" s="125">
        <v>36867515</v>
      </c>
      <c r="D179" s="125">
        <v>45709557</v>
      </c>
      <c r="E179" s="125">
        <v>53207007</v>
      </c>
      <c r="F179" s="125">
        <v>61203851</v>
      </c>
      <c r="G179" s="125">
        <v>103204432</v>
      </c>
    </row>
    <row r="180" spans="1:7" x14ac:dyDescent="0.45">
      <c r="A180" s="9" t="s">
        <v>474</v>
      </c>
      <c r="B180" s="125">
        <v>3597784</v>
      </c>
      <c r="C180" s="125">
        <v>3463218</v>
      </c>
      <c r="D180" s="125">
        <v>3359606</v>
      </c>
      <c r="E180" s="125">
        <v>3691488</v>
      </c>
      <c r="F180" s="125">
        <v>3812308</v>
      </c>
      <c r="G180" s="125">
        <v>5123914</v>
      </c>
    </row>
    <row r="181" spans="1:7" x14ac:dyDescent="0.45">
      <c r="A181" s="9" t="s">
        <v>475</v>
      </c>
      <c r="B181" s="125">
        <v>4430481</v>
      </c>
      <c r="C181" s="125">
        <v>4850144</v>
      </c>
      <c r="D181" s="125">
        <v>6276162</v>
      </c>
      <c r="E181" s="125">
        <v>8339351</v>
      </c>
      <c r="F181" s="125">
        <v>9226406</v>
      </c>
      <c r="G181" s="125">
        <v>13698740</v>
      </c>
    </row>
    <row r="182" spans="1:7" x14ac:dyDescent="0.45">
      <c r="A182" s="9" t="s">
        <v>476</v>
      </c>
      <c r="B182" s="125">
        <v>40782321</v>
      </c>
      <c r="C182" s="125">
        <v>46042148</v>
      </c>
      <c r="D182" s="125">
        <v>23078284</v>
      </c>
      <c r="E182" s="125">
        <v>23825990</v>
      </c>
      <c r="F182" s="125">
        <v>25967529</v>
      </c>
      <c r="G182" s="125">
        <v>38628411</v>
      </c>
    </row>
    <row r="183" spans="1:7" x14ac:dyDescent="0.45">
      <c r="A183" s="9" t="s">
        <v>477</v>
      </c>
      <c r="B183" s="125">
        <v>24470528</v>
      </c>
      <c r="C183" s="125">
        <v>28119047</v>
      </c>
      <c r="D183" s="125" t="s">
        <v>34</v>
      </c>
      <c r="E183" s="125" t="s">
        <v>34</v>
      </c>
      <c r="F183" s="125" t="s">
        <v>34</v>
      </c>
      <c r="G183" s="125" t="s">
        <v>34</v>
      </c>
    </row>
    <row r="184" spans="1:7" x14ac:dyDescent="0.45">
      <c r="A184" s="9" t="s">
        <v>478</v>
      </c>
      <c r="B184" s="125">
        <v>3445831</v>
      </c>
      <c r="C184" s="125">
        <v>5717504</v>
      </c>
      <c r="D184" s="125" t="s">
        <v>34</v>
      </c>
      <c r="E184" s="125" t="s">
        <v>34</v>
      </c>
      <c r="F184" s="125" t="s">
        <v>34</v>
      </c>
      <c r="G184" s="125" t="s">
        <v>34</v>
      </c>
    </row>
    <row r="185" spans="1:7" x14ac:dyDescent="0.45">
      <c r="A185" s="9" t="s">
        <v>479</v>
      </c>
      <c r="B185" s="125">
        <v>12865962</v>
      </c>
      <c r="C185" s="125">
        <v>12205597</v>
      </c>
      <c r="D185" s="125">
        <v>12589449</v>
      </c>
      <c r="E185" s="125">
        <v>14043035</v>
      </c>
      <c r="F185" s="125">
        <v>20665169</v>
      </c>
      <c r="G185" s="125">
        <v>27439611</v>
      </c>
    </row>
    <row r="186" spans="1:7" x14ac:dyDescent="0.45">
      <c r="A186" s="9" t="s">
        <v>480</v>
      </c>
      <c r="B186" s="125">
        <v>16593432</v>
      </c>
      <c r="C186" s="125">
        <v>18437714</v>
      </c>
      <c r="D186" s="125">
        <v>52945777</v>
      </c>
      <c r="E186" s="125">
        <v>52144463</v>
      </c>
      <c r="F186" s="125">
        <v>53007189</v>
      </c>
      <c r="G186" s="125">
        <v>83346818</v>
      </c>
    </row>
    <row r="187" spans="1:7" x14ac:dyDescent="0.45">
      <c r="A187" s="9" t="s">
        <v>481</v>
      </c>
      <c r="B187" s="125">
        <v>11636491</v>
      </c>
      <c r="C187" s="125">
        <v>13535842</v>
      </c>
      <c r="D187" s="125">
        <v>45618680</v>
      </c>
      <c r="E187" s="125">
        <v>44913143</v>
      </c>
      <c r="F187" s="125">
        <v>45254218</v>
      </c>
      <c r="G187" s="125">
        <v>71802731</v>
      </c>
    </row>
    <row r="188" spans="1:7" x14ac:dyDescent="0.45">
      <c r="A188" s="9" t="s">
        <v>482</v>
      </c>
      <c r="B188" s="125">
        <v>3124348</v>
      </c>
      <c r="C188" s="125">
        <v>3156140</v>
      </c>
      <c r="D188" s="125">
        <v>5410702</v>
      </c>
      <c r="E188" s="125">
        <v>5594301</v>
      </c>
      <c r="F188" s="125">
        <v>6080901</v>
      </c>
      <c r="G188" s="125">
        <v>8350060</v>
      </c>
    </row>
    <row r="189" spans="1:7" x14ac:dyDescent="0.45">
      <c r="A189" s="9" t="s">
        <v>483</v>
      </c>
      <c r="B189" s="125">
        <v>1832593</v>
      </c>
      <c r="C189" s="125">
        <v>1745732</v>
      </c>
      <c r="D189" s="125">
        <v>1916395</v>
      </c>
      <c r="E189" s="125">
        <v>1637019</v>
      </c>
      <c r="F189" s="125">
        <v>1672070</v>
      </c>
      <c r="G189" s="125">
        <v>3194027</v>
      </c>
    </row>
    <row r="190" spans="1:7" x14ac:dyDescent="0.45">
      <c r="A190" s="9" t="s">
        <v>484</v>
      </c>
      <c r="B190" s="125">
        <v>2800460</v>
      </c>
      <c r="C190" s="125">
        <v>2282479</v>
      </c>
      <c r="D190" s="125">
        <v>2756320</v>
      </c>
      <c r="E190" s="125">
        <v>2956986</v>
      </c>
      <c r="F190" s="125">
        <v>3046876</v>
      </c>
      <c r="G190" s="125">
        <v>4859779</v>
      </c>
    </row>
    <row r="191" spans="1:7" x14ac:dyDescent="0.45">
      <c r="A191" s="9" t="s">
        <v>485</v>
      </c>
      <c r="B191" s="125">
        <v>2800460</v>
      </c>
      <c r="C191" s="125">
        <v>2282479</v>
      </c>
      <c r="D191" s="125">
        <v>2756320</v>
      </c>
      <c r="E191" s="125">
        <v>2956986</v>
      </c>
      <c r="F191" s="125">
        <v>3046876</v>
      </c>
      <c r="G191" s="125">
        <v>4859779</v>
      </c>
    </row>
    <row r="192" spans="1:7" x14ac:dyDescent="0.45">
      <c r="A192" s="9" t="s">
        <v>486</v>
      </c>
      <c r="B192" s="125">
        <v>28240735</v>
      </c>
      <c r="C192" s="125">
        <v>28284920</v>
      </c>
      <c r="D192" s="125">
        <v>36470601</v>
      </c>
      <c r="E192" s="125">
        <v>41985575</v>
      </c>
      <c r="F192" s="125">
        <v>51948811</v>
      </c>
      <c r="G192" s="125">
        <v>61976490</v>
      </c>
    </row>
    <row r="193" spans="1:7" x14ac:dyDescent="0.45">
      <c r="A193" s="9" t="s">
        <v>487</v>
      </c>
      <c r="B193" s="125">
        <v>27740854</v>
      </c>
      <c r="C193" s="125">
        <v>27819646</v>
      </c>
      <c r="D193" s="125">
        <v>35947578</v>
      </c>
      <c r="E193" s="125">
        <v>41629711</v>
      </c>
      <c r="F193" s="125">
        <v>43348081</v>
      </c>
      <c r="G193" s="125">
        <v>47582546</v>
      </c>
    </row>
    <row r="194" spans="1:7" x14ac:dyDescent="0.45">
      <c r="A194" s="9" t="s">
        <v>488</v>
      </c>
      <c r="B194" s="125">
        <v>499881</v>
      </c>
      <c r="C194" s="125">
        <v>465274</v>
      </c>
      <c r="D194" s="125">
        <v>523023</v>
      </c>
      <c r="E194" s="125">
        <v>355864</v>
      </c>
      <c r="F194" s="125">
        <v>8600730</v>
      </c>
      <c r="G194" s="125">
        <v>14393944</v>
      </c>
    </row>
    <row r="195" spans="1:7" x14ac:dyDescent="0.45">
      <c r="A195" s="9" t="s">
        <v>489</v>
      </c>
      <c r="B195" s="125">
        <v>29985169</v>
      </c>
      <c r="C195" s="125">
        <v>31255812</v>
      </c>
      <c r="D195" s="125">
        <v>34446681</v>
      </c>
      <c r="E195" s="125">
        <v>36087148</v>
      </c>
      <c r="F195" s="125">
        <v>41981157</v>
      </c>
      <c r="G195" s="125">
        <v>47143520</v>
      </c>
    </row>
    <row r="196" spans="1:7" x14ac:dyDescent="0.45">
      <c r="A196" s="9" t="s">
        <v>490</v>
      </c>
      <c r="B196" s="125">
        <v>9760826</v>
      </c>
      <c r="C196" s="125">
        <v>9720974</v>
      </c>
      <c r="D196" s="125">
        <v>10839324</v>
      </c>
      <c r="E196" s="125">
        <v>10747657</v>
      </c>
      <c r="F196" s="125">
        <v>12102999</v>
      </c>
      <c r="G196" s="125">
        <v>14141719</v>
      </c>
    </row>
    <row r="197" spans="1:7" x14ac:dyDescent="0.45">
      <c r="A197" s="9" t="s">
        <v>491</v>
      </c>
      <c r="B197" s="125">
        <v>2326550</v>
      </c>
      <c r="C197" s="125">
        <v>2708568</v>
      </c>
      <c r="D197" s="125">
        <v>3314520</v>
      </c>
      <c r="E197" s="125">
        <v>3886972</v>
      </c>
      <c r="F197" s="125">
        <v>5462095</v>
      </c>
      <c r="G197" s="125">
        <v>5069645</v>
      </c>
    </row>
    <row r="198" spans="1:7" x14ac:dyDescent="0.45">
      <c r="A198" s="9" t="s">
        <v>492</v>
      </c>
      <c r="B198" s="125">
        <v>17897793</v>
      </c>
      <c r="C198" s="125">
        <v>18826270</v>
      </c>
      <c r="D198" s="125">
        <v>20292837</v>
      </c>
      <c r="E198" s="125">
        <v>21452519</v>
      </c>
      <c r="F198" s="125">
        <v>24416063</v>
      </c>
      <c r="G198" s="125">
        <v>27932156</v>
      </c>
    </row>
    <row r="199" spans="1:7" x14ac:dyDescent="0.45">
      <c r="A199" s="9" t="s">
        <v>493</v>
      </c>
      <c r="B199" s="125">
        <v>10743797</v>
      </c>
      <c r="C199" s="125">
        <v>10794412</v>
      </c>
      <c r="D199" s="125">
        <v>11570916</v>
      </c>
      <c r="E199" s="125">
        <v>13214457</v>
      </c>
      <c r="F199" s="125">
        <v>14859115</v>
      </c>
      <c r="G199" s="125">
        <v>20314761</v>
      </c>
    </row>
    <row r="200" spans="1:7" x14ac:dyDescent="0.45">
      <c r="A200" s="9" t="s">
        <v>494</v>
      </c>
      <c r="B200" s="125">
        <v>8524024</v>
      </c>
      <c r="C200" s="125">
        <v>8511368</v>
      </c>
      <c r="D200" s="125">
        <v>9415155</v>
      </c>
      <c r="E200" s="125">
        <v>10276545</v>
      </c>
      <c r="F200" s="125">
        <v>11400932</v>
      </c>
      <c r="G200" s="125">
        <v>15770777</v>
      </c>
    </row>
    <row r="201" spans="1:7" x14ac:dyDescent="0.45">
      <c r="A201" s="9" t="s">
        <v>495</v>
      </c>
      <c r="B201" s="125">
        <v>1245264</v>
      </c>
      <c r="C201" s="125">
        <v>1096117</v>
      </c>
      <c r="D201" s="125">
        <v>982670</v>
      </c>
      <c r="E201" s="125">
        <v>1103930</v>
      </c>
      <c r="F201" s="125">
        <v>1354429</v>
      </c>
      <c r="G201" s="125">
        <v>1572056</v>
      </c>
    </row>
    <row r="202" spans="1:7" x14ac:dyDescent="0.45">
      <c r="A202" s="9" t="s">
        <v>496</v>
      </c>
      <c r="B202" s="125">
        <v>974509</v>
      </c>
      <c r="C202" s="125">
        <v>1186927</v>
      </c>
      <c r="D202" s="125">
        <v>1173091</v>
      </c>
      <c r="E202" s="125">
        <v>1833982</v>
      </c>
      <c r="F202" s="125">
        <v>2103754</v>
      </c>
      <c r="G202" s="125">
        <v>2971928</v>
      </c>
    </row>
    <row r="203" spans="1:7" x14ac:dyDescent="0.45">
      <c r="A203" s="9" t="s">
        <v>497</v>
      </c>
      <c r="B203" s="125">
        <v>14366630</v>
      </c>
      <c r="C203" s="125">
        <v>13786188</v>
      </c>
      <c r="D203" s="125">
        <v>16056517</v>
      </c>
      <c r="E203" s="125">
        <v>16643069</v>
      </c>
      <c r="F203" s="125">
        <v>19736082</v>
      </c>
      <c r="G203" s="125">
        <v>25107529</v>
      </c>
    </row>
    <row r="204" spans="1:7" x14ac:dyDescent="0.45">
      <c r="A204" s="9" t="s">
        <v>498</v>
      </c>
      <c r="B204" s="125" t="s">
        <v>34</v>
      </c>
      <c r="C204" s="125">
        <v>1814217</v>
      </c>
      <c r="D204" s="125">
        <v>2509625</v>
      </c>
      <c r="E204" s="125">
        <v>2456612</v>
      </c>
      <c r="F204" s="125">
        <v>2783329</v>
      </c>
      <c r="G204" s="125">
        <v>3208492</v>
      </c>
    </row>
    <row r="205" spans="1:7" x14ac:dyDescent="0.45">
      <c r="A205" s="9" t="s">
        <v>499</v>
      </c>
      <c r="B205" s="125">
        <v>795700</v>
      </c>
      <c r="C205" s="125">
        <v>832365</v>
      </c>
      <c r="D205" s="125">
        <v>827864</v>
      </c>
      <c r="E205" s="125">
        <v>550770</v>
      </c>
      <c r="F205" s="125">
        <v>670862</v>
      </c>
      <c r="G205" s="125">
        <v>1082519</v>
      </c>
    </row>
    <row r="206" spans="1:7" x14ac:dyDescent="0.45">
      <c r="A206" s="9" t="s">
        <v>500</v>
      </c>
      <c r="B206" s="125">
        <v>7465416</v>
      </c>
      <c r="C206" s="125">
        <v>6963058</v>
      </c>
      <c r="D206" s="125">
        <v>7914012</v>
      </c>
      <c r="E206" s="125">
        <v>8456531</v>
      </c>
      <c r="F206" s="125">
        <v>10168743</v>
      </c>
      <c r="G206" s="125">
        <v>12670118</v>
      </c>
    </row>
    <row r="207" spans="1:7" x14ac:dyDescent="0.45">
      <c r="A207" s="9" t="s">
        <v>501</v>
      </c>
      <c r="B207" s="125" t="s">
        <v>34</v>
      </c>
      <c r="C207" s="125">
        <v>527340</v>
      </c>
      <c r="D207" s="125">
        <v>643728</v>
      </c>
      <c r="E207" s="125">
        <v>559842</v>
      </c>
      <c r="F207" s="125">
        <v>696833</v>
      </c>
      <c r="G207" s="125">
        <v>784069</v>
      </c>
    </row>
    <row r="208" spans="1:7" x14ac:dyDescent="0.45">
      <c r="A208" s="9" t="s">
        <v>502</v>
      </c>
      <c r="B208" s="125">
        <v>3857099</v>
      </c>
      <c r="C208" s="125">
        <v>3649208</v>
      </c>
      <c r="D208" s="125">
        <v>4161288</v>
      </c>
      <c r="E208" s="125">
        <v>4619314</v>
      </c>
      <c r="F208" s="125">
        <v>5416315</v>
      </c>
      <c r="G208" s="125">
        <v>7362331</v>
      </c>
    </row>
    <row r="209" spans="1:7" x14ac:dyDescent="0.45">
      <c r="A209" s="9" t="s">
        <v>234</v>
      </c>
      <c r="B209" s="125">
        <v>30897490</v>
      </c>
      <c r="C209" s="125">
        <v>31150290</v>
      </c>
      <c r="D209" s="125">
        <v>36940408</v>
      </c>
      <c r="E209" s="125">
        <v>36595961</v>
      </c>
      <c r="F209" s="125">
        <v>39557817</v>
      </c>
      <c r="G209" s="125">
        <v>46791874</v>
      </c>
    </row>
    <row r="210" spans="1:7" x14ac:dyDescent="0.45">
      <c r="A210" s="9" t="s">
        <v>235</v>
      </c>
      <c r="B210" s="125">
        <v>349026</v>
      </c>
      <c r="C210" s="125">
        <v>352759</v>
      </c>
      <c r="D210" s="125">
        <v>1131437</v>
      </c>
      <c r="E210" s="125">
        <v>1239753</v>
      </c>
      <c r="F210" s="125">
        <v>1630737</v>
      </c>
      <c r="G210" s="125">
        <v>2048256</v>
      </c>
    </row>
    <row r="211" spans="1:7" x14ac:dyDescent="0.45">
      <c r="A211" s="9" t="s">
        <v>236</v>
      </c>
      <c r="B211" s="125">
        <v>349026</v>
      </c>
      <c r="C211" s="125">
        <v>352759</v>
      </c>
      <c r="D211" s="125">
        <v>1131437</v>
      </c>
      <c r="E211" s="125">
        <v>1239753</v>
      </c>
      <c r="F211" s="125">
        <v>1630737</v>
      </c>
      <c r="G211" s="125">
        <v>2048256</v>
      </c>
    </row>
    <row r="212" spans="1:7" x14ac:dyDescent="0.45">
      <c r="A212" s="9" t="s">
        <v>237</v>
      </c>
      <c r="B212" s="125">
        <v>30548464</v>
      </c>
      <c r="C212" s="125">
        <v>30797531</v>
      </c>
      <c r="D212" s="125">
        <v>35808971</v>
      </c>
      <c r="E212" s="125">
        <v>35356208</v>
      </c>
      <c r="F212" s="125">
        <v>37927080</v>
      </c>
      <c r="G212" s="125">
        <v>44743618</v>
      </c>
    </row>
    <row r="213" spans="1:7" x14ac:dyDescent="0.45">
      <c r="A213" s="9" t="s">
        <v>238</v>
      </c>
      <c r="B213" s="125">
        <v>27328721</v>
      </c>
      <c r="C213" s="125">
        <v>27634536</v>
      </c>
      <c r="D213" s="125">
        <v>31943883</v>
      </c>
      <c r="E213" s="125">
        <v>31128796</v>
      </c>
      <c r="F213" s="125">
        <v>33915763</v>
      </c>
      <c r="G213" s="125">
        <v>39487337</v>
      </c>
    </row>
    <row r="214" spans="1:7" x14ac:dyDescent="0.45">
      <c r="A214" s="9" t="s">
        <v>239</v>
      </c>
      <c r="B214" s="125">
        <v>3011390</v>
      </c>
      <c r="C214" s="125">
        <v>2954060</v>
      </c>
      <c r="D214" s="125">
        <v>3595043</v>
      </c>
      <c r="E214" s="125">
        <v>3901858</v>
      </c>
      <c r="F214" s="125">
        <v>3658070</v>
      </c>
      <c r="G214" s="125">
        <v>4863345</v>
      </c>
    </row>
    <row r="215" spans="1:7" x14ac:dyDescent="0.45">
      <c r="A215" s="9" t="s">
        <v>240</v>
      </c>
      <c r="B215" s="125">
        <v>208353</v>
      </c>
      <c r="C215" s="125">
        <v>208935</v>
      </c>
      <c r="D215" s="125">
        <v>270045</v>
      </c>
      <c r="E215" s="125">
        <v>325554</v>
      </c>
      <c r="F215" s="125">
        <v>353247</v>
      </c>
      <c r="G215" s="125">
        <v>392936</v>
      </c>
    </row>
    <row r="216" spans="1:7" x14ac:dyDescent="0.45">
      <c r="A216" s="9" t="s">
        <v>503</v>
      </c>
      <c r="B216" s="125">
        <v>64206906</v>
      </c>
      <c r="C216" s="125">
        <v>66049852</v>
      </c>
      <c r="D216" s="125">
        <v>74084269</v>
      </c>
      <c r="E216" s="125">
        <v>77298716</v>
      </c>
      <c r="F216" s="125">
        <v>87113656</v>
      </c>
      <c r="G216" s="125">
        <v>128775440</v>
      </c>
    </row>
    <row r="217" spans="1:7" x14ac:dyDescent="0.45">
      <c r="A217" s="9" t="s">
        <v>504</v>
      </c>
      <c r="B217" s="125">
        <v>16799050</v>
      </c>
      <c r="C217" s="125">
        <v>18087025</v>
      </c>
      <c r="D217" s="125">
        <v>20979683</v>
      </c>
      <c r="E217" s="125">
        <v>21577626</v>
      </c>
      <c r="F217" s="125">
        <v>21145762</v>
      </c>
      <c r="G217" s="125">
        <v>32251935</v>
      </c>
    </row>
    <row r="218" spans="1:7" x14ac:dyDescent="0.45">
      <c r="A218" s="9" t="s">
        <v>505</v>
      </c>
      <c r="B218" s="125">
        <v>12473721</v>
      </c>
      <c r="C218" s="125">
        <v>13418809</v>
      </c>
      <c r="D218" s="125">
        <v>15563918</v>
      </c>
      <c r="E218" s="125">
        <v>16164744</v>
      </c>
      <c r="F218" s="125">
        <v>15242676</v>
      </c>
      <c r="G218" s="125">
        <v>23366103</v>
      </c>
    </row>
    <row r="219" spans="1:7" x14ac:dyDescent="0.45">
      <c r="A219" s="9" t="s">
        <v>506</v>
      </c>
      <c r="B219" s="125">
        <v>1016735</v>
      </c>
      <c r="C219" s="125">
        <v>1067255</v>
      </c>
      <c r="D219" s="125">
        <v>1220599</v>
      </c>
      <c r="E219" s="125">
        <v>1112087</v>
      </c>
      <c r="F219" s="125">
        <v>1253575</v>
      </c>
      <c r="G219" s="125">
        <v>1679186</v>
      </c>
    </row>
    <row r="220" spans="1:7" x14ac:dyDescent="0.45">
      <c r="A220" s="9" t="s">
        <v>507</v>
      </c>
      <c r="B220" s="125">
        <v>3308594</v>
      </c>
      <c r="C220" s="125">
        <v>3600961</v>
      </c>
      <c r="D220" s="125">
        <v>4195166</v>
      </c>
      <c r="E220" s="125">
        <v>4300795</v>
      </c>
      <c r="F220" s="125">
        <v>4649511</v>
      </c>
      <c r="G220" s="125">
        <v>7206646</v>
      </c>
    </row>
    <row r="221" spans="1:7" x14ac:dyDescent="0.45">
      <c r="A221" s="9" t="s">
        <v>508</v>
      </c>
      <c r="B221" s="125">
        <v>47407856</v>
      </c>
      <c r="C221" s="125">
        <v>47962827</v>
      </c>
      <c r="D221" s="125">
        <v>53104586</v>
      </c>
      <c r="E221" s="125">
        <v>55721090</v>
      </c>
      <c r="F221" s="125">
        <v>65967894</v>
      </c>
      <c r="G221" s="125">
        <v>96523505</v>
      </c>
    </row>
    <row r="222" spans="1:7" x14ac:dyDescent="0.45">
      <c r="A222" s="9" t="s">
        <v>509</v>
      </c>
      <c r="B222" s="125">
        <v>12664744</v>
      </c>
      <c r="C222" s="125">
        <v>13031552</v>
      </c>
      <c r="D222" s="125">
        <v>14668485</v>
      </c>
      <c r="E222" s="125">
        <v>17844256</v>
      </c>
      <c r="F222" s="125">
        <v>20986307</v>
      </c>
      <c r="G222" s="125">
        <v>30658477</v>
      </c>
    </row>
    <row r="223" spans="1:7" x14ac:dyDescent="0.45">
      <c r="A223" s="9" t="s">
        <v>510</v>
      </c>
      <c r="B223" s="125">
        <v>18480119</v>
      </c>
      <c r="C223" s="125">
        <v>18395452</v>
      </c>
      <c r="D223" s="125">
        <v>20650560</v>
      </c>
      <c r="E223" s="125">
        <v>20289200</v>
      </c>
      <c r="F223" s="125">
        <v>23986001</v>
      </c>
      <c r="G223" s="125">
        <v>33543220</v>
      </c>
    </row>
    <row r="224" spans="1:7" x14ac:dyDescent="0.45">
      <c r="A224" s="9" t="s">
        <v>511</v>
      </c>
      <c r="B224" s="125">
        <v>3577704</v>
      </c>
      <c r="C224" s="125">
        <v>3831558</v>
      </c>
      <c r="D224" s="125">
        <v>4112848</v>
      </c>
      <c r="E224" s="125">
        <v>4710250</v>
      </c>
      <c r="F224" s="125">
        <v>5255154</v>
      </c>
      <c r="G224" s="125">
        <v>9142223</v>
      </c>
    </row>
    <row r="225" spans="1:7" x14ac:dyDescent="0.45">
      <c r="A225" s="9" t="s">
        <v>512</v>
      </c>
      <c r="B225" s="125">
        <v>12685289</v>
      </c>
      <c r="C225" s="125">
        <v>12704265</v>
      </c>
      <c r="D225" s="125">
        <v>13672693</v>
      </c>
      <c r="E225" s="125">
        <v>12877384</v>
      </c>
      <c r="F225" s="125">
        <v>15740432</v>
      </c>
      <c r="G225" s="125">
        <v>23179585</v>
      </c>
    </row>
    <row r="226" spans="1:7" x14ac:dyDescent="0.45">
      <c r="A226" s="9" t="s">
        <v>513</v>
      </c>
      <c r="B226" s="125">
        <v>48272449</v>
      </c>
      <c r="C226" s="125">
        <v>46681210</v>
      </c>
      <c r="D226" s="125">
        <v>50316378</v>
      </c>
      <c r="E226" s="125">
        <v>54409101</v>
      </c>
      <c r="F226" s="125">
        <v>58979738</v>
      </c>
      <c r="G226" s="125">
        <v>81129406</v>
      </c>
    </row>
    <row r="227" spans="1:7" x14ac:dyDescent="0.45">
      <c r="A227" s="9" t="s">
        <v>514</v>
      </c>
      <c r="B227" s="125">
        <v>6866219</v>
      </c>
      <c r="C227" s="125">
        <v>6953077</v>
      </c>
      <c r="D227" s="125">
        <v>7605927</v>
      </c>
      <c r="E227" s="125">
        <v>8374461</v>
      </c>
      <c r="F227" s="125">
        <v>8893475</v>
      </c>
      <c r="G227" s="125">
        <v>11728045</v>
      </c>
    </row>
    <row r="228" spans="1:7" x14ac:dyDescent="0.45">
      <c r="A228" s="9" t="s">
        <v>515</v>
      </c>
      <c r="B228" s="125">
        <v>3519400</v>
      </c>
      <c r="C228" s="125">
        <v>3319880</v>
      </c>
      <c r="D228" s="125">
        <v>3827835</v>
      </c>
      <c r="E228" s="125">
        <v>4148030</v>
      </c>
      <c r="F228" s="125">
        <v>4335981</v>
      </c>
      <c r="G228" s="125">
        <v>6403403</v>
      </c>
    </row>
    <row r="229" spans="1:7" x14ac:dyDescent="0.45">
      <c r="A229" s="9" t="s">
        <v>516</v>
      </c>
      <c r="B229" s="125">
        <v>1611681</v>
      </c>
      <c r="C229" s="125">
        <v>1923036</v>
      </c>
      <c r="D229" s="125">
        <v>1870850</v>
      </c>
      <c r="E229" s="125">
        <v>2366537</v>
      </c>
      <c r="F229" s="125">
        <v>2378617</v>
      </c>
      <c r="G229" s="125">
        <v>2733982</v>
      </c>
    </row>
    <row r="230" spans="1:7" x14ac:dyDescent="0.45">
      <c r="A230" s="9" t="s">
        <v>517</v>
      </c>
      <c r="B230" s="125">
        <v>1735138</v>
      </c>
      <c r="C230" s="125">
        <v>1710161</v>
      </c>
      <c r="D230" s="125">
        <v>1907242</v>
      </c>
      <c r="E230" s="125">
        <v>1859894</v>
      </c>
      <c r="F230" s="125">
        <v>2178877</v>
      </c>
      <c r="G230" s="125">
        <v>2590660</v>
      </c>
    </row>
    <row r="231" spans="1:7" x14ac:dyDescent="0.45">
      <c r="A231" s="9" t="s">
        <v>518</v>
      </c>
      <c r="B231" s="125">
        <v>11417367</v>
      </c>
      <c r="C231" s="125">
        <v>10968411</v>
      </c>
      <c r="D231" s="125">
        <v>11169764</v>
      </c>
      <c r="E231" s="125">
        <v>11437863</v>
      </c>
      <c r="F231" s="125">
        <v>12320779</v>
      </c>
      <c r="G231" s="125">
        <v>15397065</v>
      </c>
    </row>
    <row r="232" spans="1:7" x14ac:dyDescent="0.45">
      <c r="A232" s="9" t="s">
        <v>519</v>
      </c>
      <c r="B232" s="125">
        <v>11417367</v>
      </c>
      <c r="C232" s="125">
        <v>10968411</v>
      </c>
      <c r="D232" s="125">
        <v>11169764</v>
      </c>
      <c r="E232" s="125">
        <v>11437863</v>
      </c>
      <c r="F232" s="125">
        <v>12320779</v>
      </c>
      <c r="G232" s="125">
        <v>15397065</v>
      </c>
    </row>
    <row r="233" spans="1:7" x14ac:dyDescent="0.45">
      <c r="A233" s="9" t="s">
        <v>520</v>
      </c>
      <c r="B233" s="125">
        <v>11902898</v>
      </c>
      <c r="C233" s="125">
        <v>10592025</v>
      </c>
      <c r="D233" s="125">
        <v>11467364</v>
      </c>
      <c r="E233" s="125">
        <v>12941042</v>
      </c>
      <c r="F233" s="125">
        <v>14663669</v>
      </c>
      <c r="G233" s="125">
        <v>20914053</v>
      </c>
    </row>
    <row r="234" spans="1:7" x14ac:dyDescent="0.45">
      <c r="A234" s="9" t="s">
        <v>521</v>
      </c>
      <c r="B234" s="125">
        <v>11902898</v>
      </c>
      <c r="C234" s="125">
        <v>10592025</v>
      </c>
      <c r="D234" s="125">
        <v>11467364</v>
      </c>
      <c r="E234" s="125">
        <v>12941042</v>
      </c>
      <c r="F234" s="125">
        <v>14663669</v>
      </c>
      <c r="G234" s="125">
        <v>20914053</v>
      </c>
    </row>
    <row r="235" spans="1:7" x14ac:dyDescent="0.45">
      <c r="A235" s="9" t="s">
        <v>522</v>
      </c>
      <c r="B235" s="125">
        <v>9503622</v>
      </c>
      <c r="C235" s="125">
        <v>9450892</v>
      </c>
      <c r="D235" s="125">
        <v>10449628</v>
      </c>
      <c r="E235" s="125">
        <v>11489637</v>
      </c>
      <c r="F235" s="125">
        <v>11937349</v>
      </c>
      <c r="G235" s="125">
        <v>17408097</v>
      </c>
    </row>
    <row r="236" spans="1:7" x14ac:dyDescent="0.45">
      <c r="A236" s="9" t="s">
        <v>523</v>
      </c>
      <c r="B236" s="125">
        <v>1433504</v>
      </c>
      <c r="C236" s="125">
        <v>1503153</v>
      </c>
      <c r="D236" s="125">
        <v>1716324</v>
      </c>
      <c r="E236" s="125">
        <v>1622925</v>
      </c>
      <c r="F236" s="125">
        <v>1878634</v>
      </c>
      <c r="G236" s="125">
        <v>2169083</v>
      </c>
    </row>
    <row r="237" spans="1:7" x14ac:dyDescent="0.45">
      <c r="A237" s="9" t="s">
        <v>524</v>
      </c>
      <c r="B237" s="125">
        <v>6985799</v>
      </c>
      <c r="C237" s="125">
        <v>6849836</v>
      </c>
      <c r="D237" s="125">
        <v>7503435</v>
      </c>
      <c r="E237" s="125">
        <v>8612036</v>
      </c>
      <c r="F237" s="125">
        <v>8859762</v>
      </c>
      <c r="G237" s="125">
        <v>13461525</v>
      </c>
    </row>
    <row r="238" spans="1:7" x14ac:dyDescent="0.45">
      <c r="A238" s="9" t="s">
        <v>525</v>
      </c>
      <c r="B238" s="125">
        <v>1084319</v>
      </c>
      <c r="C238" s="125">
        <v>1097903</v>
      </c>
      <c r="D238" s="125">
        <v>1229869</v>
      </c>
      <c r="E238" s="125">
        <v>1254676</v>
      </c>
      <c r="F238" s="125">
        <v>1198953</v>
      </c>
      <c r="G238" s="125">
        <v>1777489</v>
      </c>
    </row>
    <row r="239" spans="1:7" x14ac:dyDescent="0.45">
      <c r="A239" s="9" t="s">
        <v>526</v>
      </c>
      <c r="B239" s="125">
        <v>8582343</v>
      </c>
      <c r="C239" s="125">
        <v>8716805</v>
      </c>
      <c r="D239" s="125">
        <v>9623695</v>
      </c>
      <c r="E239" s="125">
        <v>10166098</v>
      </c>
      <c r="F239" s="125">
        <v>11164466</v>
      </c>
      <c r="G239" s="125">
        <v>15682146</v>
      </c>
    </row>
    <row r="240" spans="1:7" x14ac:dyDescent="0.45">
      <c r="A240" s="9" t="s">
        <v>527</v>
      </c>
      <c r="B240" s="125">
        <v>2253645</v>
      </c>
      <c r="C240" s="125">
        <v>2155497</v>
      </c>
      <c r="D240" s="125">
        <v>2039373</v>
      </c>
      <c r="E240" s="125">
        <v>2158107</v>
      </c>
      <c r="F240" s="125">
        <v>2751038</v>
      </c>
      <c r="G240" s="125">
        <v>4048822</v>
      </c>
    </row>
    <row r="241" spans="1:7" x14ac:dyDescent="0.45">
      <c r="A241" s="9" t="s">
        <v>528</v>
      </c>
      <c r="B241" s="125">
        <v>1121624</v>
      </c>
      <c r="C241" s="125">
        <v>1195067</v>
      </c>
      <c r="D241" s="125">
        <v>1449798</v>
      </c>
      <c r="E241" s="125">
        <v>1463224</v>
      </c>
      <c r="F241" s="125">
        <v>1416262</v>
      </c>
      <c r="G241" s="125">
        <v>2137104</v>
      </c>
    </row>
    <row r="242" spans="1:7" x14ac:dyDescent="0.45">
      <c r="A242" s="9" t="s">
        <v>529</v>
      </c>
      <c r="B242" s="125">
        <v>5207074</v>
      </c>
      <c r="C242" s="125">
        <v>5366241</v>
      </c>
      <c r="D242" s="125">
        <v>6134524</v>
      </c>
      <c r="E242" s="125">
        <v>6544767</v>
      </c>
      <c r="F242" s="125">
        <v>6997166</v>
      </c>
      <c r="G242" s="125">
        <v>9496220</v>
      </c>
    </row>
    <row r="243" spans="1:7" x14ac:dyDescent="0.45">
      <c r="A243" s="9" t="s">
        <v>530</v>
      </c>
      <c r="B243" s="125">
        <v>115374633</v>
      </c>
      <c r="C243" s="125">
        <v>136322910</v>
      </c>
      <c r="D243" s="125">
        <v>173993650</v>
      </c>
      <c r="E243" s="125">
        <v>177689464</v>
      </c>
      <c r="F243" s="125">
        <v>187854814</v>
      </c>
      <c r="G243" s="125">
        <v>310207315</v>
      </c>
    </row>
    <row r="244" spans="1:7" x14ac:dyDescent="0.45">
      <c r="A244" s="9" t="s">
        <v>531</v>
      </c>
      <c r="B244" s="125">
        <v>7106036</v>
      </c>
      <c r="C244" s="125">
        <v>8836559</v>
      </c>
      <c r="D244" s="125">
        <v>11735757</v>
      </c>
      <c r="E244" s="125">
        <v>12094391</v>
      </c>
      <c r="F244" s="125">
        <v>13728774</v>
      </c>
      <c r="G244" s="125">
        <v>23446244</v>
      </c>
    </row>
    <row r="245" spans="1:7" x14ac:dyDescent="0.45">
      <c r="A245" s="9" t="s">
        <v>532</v>
      </c>
      <c r="B245" s="125">
        <v>2589832</v>
      </c>
      <c r="C245" s="125">
        <v>3791872</v>
      </c>
      <c r="D245" s="125">
        <v>4440138</v>
      </c>
      <c r="E245" s="125">
        <v>5174461</v>
      </c>
      <c r="F245" s="125">
        <v>6655194</v>
      </c>
      <c r="G245" s="125">
        <v>11392246</v>
      </c>
    </row>
    <row r="246" spans="1:7" x14ac:dyDescent="0.45">
      <c r="A246" s="9" t="s">
        <v>533</v>
      </c>
      <c r="B246" s="125">
        <v>4516204</v>
      </c>
      <c r="C246" s="125">
        <v>5044687</v>
      </c>
      <c r="D246" s="125">
        <v>7295619</v>
      </c>
      <c r="E246" s="125">
        <v>6919930</v>
      </c>
      <c r="F246" s="125">
        <v>7073580</v>
      </c>
      <c r="G246" s="125">
        <v>12053998</v>
      </c>
    </row>
    <row r="247" spans="1:7" x14ac:dyDescent="0.45">
      <c r="A247" s="9" t="s">
        <v>534</v>
      </c>
      <c r="B247" s="125">
        <v>57880363</v>
      </c>
      <c r="C247" s="125">
        <v>71889790</v>
      </c>
      <c r="D247" s="125">
        <v>93685657</v>
      </c>
      <c r="E247" s="125">
        <v>96412815</v>
      </c>
      <c r="F247" s="125">
        <v>100600716</v>
      </c>
      <c r="G247" s="125">
        <v>179961259</v>
      </c>
    </row>
    <row r="248" spans="1:7" x14ac:dyDescent="0.45">
      <c r="A248" s="9" t="s">
        <v>535</v>
      </c>
      <c r="B248" s="125">
        <v>13036103</v>
      </c>
      <c r="C248" s="125">
        <v>17130640</v>
      </c>
      <c r="D248" s="125">
        <v>41868492</v>
      </c>
      <c r="E248" s="125">
        <v>20024819</v>
      </c>
      <c r="F248" s="125">
        <v>20146805</v>
      </c>
      <c r="G248" s="125">
        <v>33652921</v>
      </c>
    </row>
    <row r="249" spans="1:7" x14ac:dyDescent="0.45">
      <c r="A249" s="9" t="s">
        <v>536</v>
      </c>
      <c r="B249" s="125">
        <v>27850874</v>
      </c>
      <c r="C249" s="125">
        <v>36252589</v>
      </c>
      <c r="D249" s="125">
        <v>24393432</v>
      </c>
      <c r="E249" s="125">
        <v>47186043</v>
      </c>
      <c r="F249" s="125">
        <v>48931162</v>
      </c>
      <c r="G249" s="125">
        <v>89654912</v>
      </c>
    </row>
    <row r="250" spans="1:7" x14ac:dyDescent="0.45">
      <c r="A250" s="9" t="s">
        <v>537</v>
      </c>
      <c r="B250" s="125">
        <v>11205081</v>
      </c>
      <c r="C250" s="125">
        <v>11151623</v>
      </c>
      <c r="D250" s="125">
        <v>16553519</v>
      </c>
      <c r="E250" s="125">
        <v>14864988</v>
      </c>
      <c r="F250" s="125">
        <v>15639112</v>
      </c>
      <c r="G250" s="125">
        <v>27648017</v>
      </c>
    </row>
    <row r="251" spans="1:7" x14ac:dyDescent="0.45">
      <c r="A251" s="9" t="s">
        <v>538</v>
      </c>
      <c r="B251" s="125">
        <v>5788305</v>
      </c>
      <c r="C251" s="125">
        <v>7354938</v>
      </c>
      <c r="D251" s="125">
        <v>10870214</v>
      </c>
      <c r="E251" s="125">
        <v>14336965</v>
      </c>
      <c r="F251" s="125">
        <v>15883637</v>
      </c>
      <c r="G251" s="125">
        <v>29005409</v>
      </c>
    </row>
    <row r="252" spans="1:7" x14ac:dyDescent="0.45">
      <c r="A252" s="9" t="s">
        <v>539</v>
      </c>
      <c r="B252" s="125">
        <v>7795932</v>
      </c>
      <c r="C252" s="125">
        <v>7826998</v>
      </c>
      <c r="D252" s="125">
        <v>9391464</v>
      </c>
      <c r="E252" s="125">
        <v>9201107</v>
      </c>
      <c r="F252" s="125">
        <v>9562833</v>
      </c>
      <c r="G252" s="125">
        <v>15122218</v>
      </c>
    </row>
    <row r="253" spans="1:7" x14ac:dyDescent="0.45">
      <c r="A253" s="9" t="s">
        <v>540</v>
      </c>
      <c r="B253" s="125">
        <v>4103680</v>
      </c>
      <c r="C253" s="125">
        <v>5190116</v>
      </c>
      <c r="D253" s="125">
        <v>4931979</v>
      </c>
      <c r="E253" s="125">
        <v>5470411</v>
      </c>
      <c r="F253" s="125">
        <v>6414723</v>
      </c>
      <c r="G253" s="125">
        <v>10628961</v>
      </c>
    </row>
    <row r="254" spans="1:7" x14ac:dyDescent="0.45">
      <c r="A254" s="9" t="s">
        <v>541</v>
      </c>
      <c r="B254" s="125">
        <v>3692252</v>
      </c>
      <c r="C254" s="125">
        <v>2636882</v>
      </c>
      <c r="D254" s="125">
        <v>4459485</v>
      </c>
      <c r="E254" s="125">
        <v>3730696</v>
      </c>
      <c r="F254" s="125">
        <v>3148110</v>
      </c>
      <c r="G254" s="125">
        <v>4493257</v>
      </c>
    </row>
    <row r="255" spans="1:7" x14ac:dyDescent="0.45">
      <c r="A255" s="9" t="s">
        <v>542</v>
      </c>
      <c r="B255" s="125">
        <v>40268173</v>
      </c>
      <c r="C255" s="125">
        <v>44911624</v>
      </c>
      <c r="D255" s="125">
        <v>55592119</v>
      </c>
      <c r="E255" s="125">
        <v>56574437</v>
      </c>
      <c r="F255" s="125">
        <v>60245208</v>
      </c>
      <c r="G255" s="125">
        <v>85686554</v>
      </c>
    </row>
    <row r="256" spans="1:7" x14ac:dyDescent="0.45">
      <c r="A256" s="9" t="s">
        <v>543</v>
      </c>
      <c r="B256" s="125">
        <v>21630322</v>
      </c>
      <c r="C256" s="125">
        <v>25454976</v>
      </c>
      <c r="D256" s="125">
        <v>29102144</v>
      </c>
      <c r="E256" s="125">
        <v>29222925</v>
      </c>
      <c r="F256" s="125">
        <v>31277105</v>
      </c>
      <c r="G256" s="125">
        <v>44950881</v>
      </c>
    </row>
    <row r="257" spans="1:7" x14ac:dyDescent="0.45">
      <c r="A257" s="9" t="s">
        <v>544</v>
      </c>
      <c r="B257" s="125">
        <v>6408830</v>
      </c>
      <c r="C257" s="125">
        <v>6589974</v>
      </c>
      <c r="D257" s="125">
        <v>9007211</v>
      </c>
      <c r="E257" s="125">
        <v>8821674</v>
      </c>
      <c r="F257" s="125">
        <v>10499133</v>
      </c>
      <c r="G257" s="125">
        <v>12778289</v>
      </c>
    </row>
    <row r="258" spans="1:7" x14ac:dyDescent="0.45">
      <c r="A258" s="9" t="s">
        <v>545</v>
      </c>
      <c r="B258" s="125">
        <v>8282171</v>
      </c>
      <c r="C258" s="125">
        <v>8361471</v>
      </c>
      <c r="D258" s="125">
        <v>10350760</v>
      </c>
      <c r="E258" s="125">
        <v>11736909</v>
      </c>
      <c r="F258" s="125">
        <v>13489134</v>
      </c>
      <c r="G258" s="125">
        <v>20236859</v>
      </c>
    </row>
    <row r="259" spans="1:7" x14ac:dyDescent="0.45">
      <c r="A259" s="9" t="s">
        <v>546</v>
      </c>
      <c r="B259" s="125">
        <v>3946850</v>
      </c>
      <c r="C259" s="125">
        <v>4505203</v>
      </c>
      <c r="D259" s="125">
        <v>7132004</v>
      </c>
      <c r="E259" s="125">
        <v>6792929</v>
      </c>
      <c r="F259" s="125">
        <v>4979836</v>
      </c>
      <c r="G259" s="125">
        <v>7720525</v>
      </c>
    </row>
    <row r="260" spans="1:7" x14ac:dyDescent="0.45">
      <c r="A260" s="9" t="s">
        <v>547</v>
      </c>
      <c r="B260" s="125">
        <v>2324129</v>
      </c>
      <c r="C260" s="125">
        <v>2857939</v>
      </c>
      <c r="D260" s="125">
        <v>3588653</v>
      </c>
      <c r="E260" s="125">
        <v>3406714</v>
      </c>
      <c r="F260" s="125">
        <v>3717283</v>
      </c>
      <c r="G260" s="125">
        <v>5991040</v>
      </c>
    </row>
    <row r="261" spans="1:7" x14ac:dyDescent="0.45">
      <c r="A261" s="9" t="s">
        <v>548</v>
      </c>
      <c r="B261" s="125">
        <v>1692658</v>
      </c>
      <c r="C261" s="125">
        <v>2055130</v>
      </c>
      <c r="D261" s="125">
        <v>2514969</v>
      </c>
      <c r="E261" s="125">
        <v>2541312</v>
      </c>
      <c r="F261" s="125">
        <v>2661543</v>
      </c>
      <c r="G261" s="125">
        <v>3888035</v>
      </c>
    </row>
    <row r="262" spans="1:7" x14ac:dyDescent="0.45">
      <c r="A262" s="9" t="s">
        <v>549</v>
      </c>
      <c r="B262" s="125">
        <v>631471</v>
      </c>
      <c r="C262" s="125">
        <v>802809</v>
      </c>
      <c r="D262" s="125">
        <v>1073684</v>
      </c>
      <c r="E262" s="125">
        <v>865402</v>
      </c>
      <c r="F262" s="125">
        <v>1055740</v>
      </c>
      <c r="G262" s="125">
        <v>2103005</v>
      </c>
    </row>
    <row r="263" spans="1:7" x14ac:dyDescent="0.45">
      <c r="A263" s="9" t="s">
        <v>550</v>
      </c>
      <c r="B263" s="125">
        <v>43162206</v>
      </c>
      <c r="C263" s="125">
        <v>44417418</v>
      </c>
      <c r="D263" s="125">
        <v>51656270</v>
      </c>
      <c r="E263" s="125">
        <v>54039717</v>
      </c>
      <c r="F263" s="125">
        <v>64785794</v>
      </c>
      <c r="G263" s="125">
        <v>99377021</v>
      </c>
    </row>
    <row r="264" spans="1:7" x14ac:dyDescent="0.45">
      <c r="A264" s="9" t="s">
        <v>551</v>
      </c>
      <c r="B264" s="125">
        <v>6199118</v>
      </c>
      <c r="C264" s="125">
        <v>6213712</v>
      </c>
      <c r="D264" s="125">
        <v>7053574</v>
      </c>
      <c r="E264" s="125">
        <v>8160737</v>
      </c>
      <c r="F264" s="125">
        <v>10821132</v>
      </c>
      <c r="G264" s="125">
        <v>15678537</v>
      </c>
    </row>
    <row r="265" spans="1:7" x14ac:dyDescent="0.45">
      <c r="A265" s="9" t="s">
        <v>552</v>
      </c>
      <c r="B265" s="125">
        <v>4222383</v>
      </c>
      <c r="C265" s="125">
        <v>4430348</v>
      </c>
      <c r="D265" s="125">
        <v>5076468</v>
      </c>
      <c r="E265" s="125">
        <v>6097575</v>
      </c>
      <c r="F265" s="125">
        <v>8551275</v>
      </c>
      <c r="G265" s="125">
        <v>12459502</v>
      </c>
    </row>
    <row r="266" spans="1:7" x14ac:dyDescent="0.45">
      <c r="A266" s="9" t="s">
        <v>553</v>
      </c>
      <c r="B266" s="125">
        <v>1508767</v>
      </c>
      <c r="C266" s="125">
        <v>1406379</v>
      </c>
      <c r="D266" s="125">
        <v>1543915</v>
      </c>
      <c r="E266" s="125">
        <v>1602141</v>
      </c>
      <c r="F266" s="125">
        <v>1706664</v>
      </c>
      <c r="G266" s="125">
        <v>2501197</v>
      </c>
    </row>
    <row r="267" spans="1:7" x14ac:dyDescent="0.45">
      <c r="A267" s="9" t="s">
        <v>554</v>
      </c>
      <c r="B267" s="125">
        <v>467968</v>
      </c>
      <c r="C267" s="125">
        <v>376985</v>
      </c>
      <c r="D267" s="125">
        <v>433191</v>
      </c>
      <c r="E267" s="125">
        <v>461021</v>
      </c>
      <c r="F267" s="125">
        <v>563193</v>
      </c>
      <c r="G267" s="125">
        <v>717838</v>
      </c>
    </row>
    <row r="268" spans="1:7" x14ac:dyDescent="0.45">
      <c r="A268" s="9" t="s">
        <v>555</v>
      </c>
      <c r="B268" s="125">
        <v>1203996</v>
      </c>
      <c r="C268" s="125">
        <v>1278744</v>
      </c>
      <c r="D268" s="125">
        <v>1060141</v>
      </c>
      <c r="E268" s="125">
        <v>1430955</v>
      </c>
      <c r="F268" s="125">
        <v>2174412</v>
      </c>
      <c r="G268" s="125">
        <v>2567660</v>
      </c>
    </row>
    <row r="269" spans="1:7" x14ac:dyDescent="0.45">
      <c r="A269" s="9" t="s">
        <v>556</v>
      </c>
      <c r="B269" s="125">
        <v>651029</v>
      </c>
      <c r="C269" s="125">
        <v>837842</v>
      </c>
      <c r="D269" s="125">
        <v>559488</v>
      </c>
      <c r="E269" s="125">
        <v>667685</v>
      </c>
      <c r="F269" s="125">
        <v>1084434</v>
      </c>
      <c r="G269" s="125">
        <v>1044208</v>
      </c>
    </row>
    <row r="270" spans="1:7" x14ac:dyDescent="0.45">
      <c r="A270" s="9" t="s">
        <v>557</v>
      </c>
      <c r="B270" s="125">
        <v>552967</v>
      </c>
      <c r="C270" s="125">
        <v>440902</v>
      </c>
      <c r="D270" s="125">
        <v>500653</v>
      </c>
      <c r="E270" s="125">
        <v>763270</v>
      </c>
      <c r="F270" s="125">
        <v>1089978</v>
      </c>
      <c r="G270" s="125">
        <v>1523452</v>
      </c>
    </row>
    <row r="271" spans="1:7" x14ac:dyDescent="0.45">
      <c r="A271" s="9" t="s">
        <v>558</v>
      </c>
      <c r="B271" s="125">
        <v>4970918</v>
      </c>
      <c r="C271" s="125">
        <v>5086468</v>
      </c>
      <c r="D271" s="125">
        <v>6343007</v>
      </c>
      <c r="E271" s="125">
        <v>6497799</v>
      </c>
      <c r="F271" s="125">
        <v>7301723</v>
      </c>
      <c r="G271" s="125">
        <v>11755976</v>
      </c>
    </row>
    <row r="272" spans="1:7" x14ac:dyDescent="0.45">
      <c r="A272" s="9" t="s">
        <v>559</v>
      </c>
      <c r="B272" s="125">
        <v>436125</v>
      </c>
      <c r="C272" s="125">
        <v>444289</v>
      </c>
      <c r="D272" s="125">
        <v>747792</v>
      </c>
      <c r="E272" s="125">
        <v>849005</v>
      </c>
      <c r="F272" s="125">
        <v>857972</v>
      </c>
      <c r="G272" s="125">
        <v>1301390</v>
      </c>
    </row>
    <row r="273" spans="1:7" x14ac:dyDescent="0.45">
      <c r="A273" s="9" t="s">
        <v>560</v>
      </c>
      <c r="B273" s="125">
        <v>2875717</v>
      </c>
      <c r="C273" s="125">
        <v>3141338</v>
      </c>
      <c r="D273" s="125">
        <v>3806840</v>
      </c>
      <c r="E273" s="125">
        <v>3810634</v>
      </c>
      <c r="F273" s="125">
        <v>4338870</v>
      </c>
      <c r="G273" s="125">
        <v>7071549</v>
      </c>
    </row>
    <row r="274" spans="1:7" x14ac:dyDescent="0.45">
      <c r="A274" s="9" t="s">
        <v>561</v>
      </c>
      <c r="B274" s="125">
        <v>1659076</v>
      </c>
      <c r="C274" s="125">
        <v>1500841</v>
      </c>
      <c r="D274" s="125">
        <v>1788375</v>
      </c>
      <c r="E274" s="125">
        <v>1838160</v>
      </c>
      <c r="F274" s="125">
        <v>2104881</v>
      </c>
      <c r="G274" s="125">
        <v>3383037</v>
      </c>
    </row>
    <row r="275" spans="1:7" x14ac:dyDescent="0.45">
      <c r="A275" s="9" t="s">
        <v>562</v>
      </c>
      <c r="B275" s="125">
        <v>6262162</v>
      </c>
      <c r="C275" s="125">
        <v>7099090</v>
      </c>
      <c r="D275" s="125">
        <v>7411773</v>
      </c>
      <c r="E275" s="125">
        <v>5931768</v>
      </c>
      <c r="F275" s="125">
        <v>6823979</v>
      </c>
      <c r="G275" s="125">
        <v>10367290</v>
      </c>
    </row>
    <row r="276" spans="1:7" x14ac:dyDescent="0.45">
      <c r="A276" s="9" t="s">
        <v>563</v>
      </c>
      <c r="B276" s="125">
        <v>2323144</v>
      </c>
      <c r="C276" s="125">
        <v>2397119</v>
      </c>
      <c r="D276" s="125">
        <v>2271642</v>
      </c>
      <c r="E276" s="125">
        <v>916849</v>
      </c>
      <c r="F276" s="125">
        <v>1292164</v>
      </c>
      <c r="G276" s="125">
        <v>1981949</v>
      </c>
    </row>
    <row r="277" spans="1:7" x14ac:dyDescent="0.45">
      <c r="A277" s="9" t="s">
        <v>564</v>
      </c>
      <c r="B277" s="125">
        <v>1939781</v>
      </c>
      <c r="C277" s="125">
        <v>1906975</v>
      </c>
      <c r="D277" s="125">
        <v>2197557</v>
      </c>
      <c r="E277" s="125">
        <v>2374672</v>
      </c>
      <c r="F277" s="125">
        <v>2639894</v>
      </c>
      <c r="G277" s="125">
        <v>3993202</v>
      </c>
    </row>
    <row r="278" spans="1:7" x14ac:dyDescent="0.45">
      <c r="A278" s="9" t="s">
        <v>565</v>
      </c>
      <c r="B278" s="125">
        <v>1999237</v>
      </c>
      <c r="C278" s="125">
        <v>2794996</v>
      </c>
      <c r="D278" s="125">
        <v>2942574</v>
      </c>
      <c r="E278" s="125">
        <v>2640247</v>
      </c>
      <c r="F278" s="125">
        <v>2891921</v>
      </c>
      <c r="G278" s="125">
        <v>4392139</v>
      </c>
    </row>
    <row r="279" spans="1:7" x14ac:dyDescent="0.45">
      <c r="A279" s="9" t="s">
        <v>566</v>
      </c>
      <c r="B279" s="125">
        <v>848235</v>
      </c>
      <c r="C279" s="125">
        <v>1346929</v>
      </c>
      <c r="D279" s="125">
        <v>1432816</v>
      </c>
      <c r="E279" s="125">
        <v>1339815</v>
      </c>
      <c r="F279" s="125">
        <v>1712119</v>
      </c>
      <c r="G279" s="125">
        <v>2224162</v>
      </c>
    </row>
    <row r="280" spans="1:7" x14ac:dyDescent="0.45">
      <c r="A280" s="9" t="s">
        <v>567</v>
      </c>
      <c r="B280" s="125">
        <v>848235</v>
      </c>
      <c r="C280" s="125">
        <v>1346929</v>
      </c>
      <c r="D280" s="125">
        <v>1432816</v>
      </c>
      <c r="E280" s="125">
        <v>1339815</v>
      </c>
      <c r="F280" s="125">
        <v>1712119</v>
      </c>
      <c r="G280" s="125">
        <v>2224162</v>
      </c>
    </row>
    <row r="281" spans="1:7" x14ac:dyDescent="0.45">
      <c r="A281" s="9" t="s">
        <v>568</v>
      </c>
      <c r="B281" s="125">
        <v>23677777</v>
      </c>
      <c r="C281" s="125">
        <v>23392475</v>
      </c>
      <c r="D281" s="125">
        <v>28354959</v>
      </c>
      <c r="E281" s="125">
        <v>30678643</v>
      </c>
      <c r="F281" s="125">
        <v>35952429</v>
      </c>
      <c r="G281" s="125">
        <v>56783396</v>
      </c>
    </row>
    <row r="282" spans="1:7" x14ac:dyDescent="0.45">
      <c r="A282" s="9" t="s">
        <v>569</v>
      </c>
      <c r="B282" s="125">
        <v>8017750</v>
      </c>
      <c r="C282" s="125">
        <v>8553840</v>
      </c>
      <c r="D282" s="125">
        <v>10419501</v>
      </c>
      <c r="E282" s="125">
        <v>11920300</v>
      </c>
      <c r="F282" s="125">
        <v>14444133</v>
      </c>
      <c r="G282" s="125">
        <v>19698415</v>
      </c>
    </row>
    <row r="283" spans="1:7" x14ac:dyDescent="0.45">
      <c r="A283" s="9" t="s">
        <v>570</v>
      </c>
      <c r="B283" s="125">
        <v>5638283</v>
      </c>
      <c r="C283" s="125">
        <v>4810778</v>
      </c>
      <c r="D283" s="125">
        <v>6312578</v>
      </c>
      <c r="E283" s="125">
        <v>6789750</v>
      </c>
      <c r="F283" s="125">
        <v>7644656</v>
      </c>
      <c r="G283" s="125">
        <v>12039546</v>
      </c>
    </row>
    <row r="284" spans="1:7" x14ac:dyDescent="0.45">
      <c r="A284" s="9" t="s">
        <v>571</v>
      </c>
      <c r="B284" s="125">
        <v>680635</v>
      </c>
      <c r="C284" s="125">
        <v>757915</v>
      </c>
      <c r="D284" s="125">
        <v>994534</v>
      </c>
      <c r="E284" s="125">
        <v>1070767</v>
      </c>
      <c r="F284" s="125">
        <v>1431012</v>
      </c>
      <c r="G284" s="125">
        <v>2040596</v>
      </c>
    </row>
    <row r="285" spans="1:7" x14ac:dyDescent="0.45">
      <c r="A285" s="9" t="s">
        <v>572</v>
      </c>
      <c r="B285" s="125">
        <v>9341109</v>
      </c>
      <c r="C285" s="125">
        <v>9269942</v>
      </c>
      <c r="D285" s="125">
        <v>10628346</v>
      </c>
      <c r="E285" s="125">
        <v>10897826</v>
      </c>
      <c r="F285" s="125">
        <v>12432628</v>
      </c>
      <c r="G285" s="125">
        <v>23004839</v>
      </c>
    </row>
    <row r="286" spans="1:7" x14ac:dyDescent="0.45">
      <c r="A286" s="9" t="s">
        <v>194</v>
      </c>
      <c r="B286" s="125">
        <v>57752435</v>
      </c>
      <c r="C286" s="125">
        <v>69477103</v>
      </c>
      <c r="D286" s="125">
        <v>82364857</v>
      </c>
      <c r="E286" s="125">
        <v>83018921</v>
      </c>
      <c r="F286" s="125">
        <v>89451990</v>
      </c>
      <c r="G286" s="125">
        <v>113155038</v>
      </c>
    </row>
    <row r="287" spans="1:7" x14ac:dyDescent="0.45">
      <c r="A287" s="9" t="s">
        <v>272</v>
      </c>
      <c r="B287" s="125">
        <v>3065692</v>
      </c>
      <c r="C287" s="125">
        <v>5079586</v>
      </c>
      <c r="D287" s="125">
        <v>6065396</v>
      </c>
      <c r="E287" s="125">
        <v>5226566</v>
      </c>
      <c r="F287" s="125">
        <v>6215386</v>
      </c>
      <c r="G287" s="125">
        <v>11325002</v>
      </c>
    </row>
    <row r="288" spans="1:7" x14ac:dyDescent="0.45">
      <c r="A288" s="9" t="s">
        <v>273</v>
      </c>
      <c r="B288" s="125">
        <v>3065692</v>
      </c>
      <c r="C288" s="125">
        <v>5079586</v>
      </c>
      <c r="D288" s="125">
        <v>6065396</v>
      </c>
      <c r="E288" s="125">
        <v>5226566</v>
      </c>
      <c r="F288" s="125">
        <v>6215386</v>
      </c>
      <c r="G288" s="125">
        <v>11325002</v>
      </c>
    </row>
    <row r="289" spans="1:7" x14ac:dyDescent="0.45">
      <c r="A289" s="9" t="s">
        <v>274</v>
      </c>
      <c r="B289" s="125">
        <v>10619171</v>
      </c>
      <c r="C289" s="125">
        <v>12336613</v>
      </c>
      <c r="D289" s="125">
        <v>15647954</v>
      </c>
      <c r="E289" s="125">
        <v>16894711</v>
      </c>
      <c r="F289" s="125">
        <v>19230255</v>
      </c>
      <c r="G289" s="125">
        <v>29583191</v>
      </c>
    </row>
    <row r="290" spans="1:7" x14ac:dyDescent="0.45">
      <c r="A290" s="9" t="s">
        <v>573</v>
      </c>
      <c r="B290" s="125">
        <v>7463955</v>
      </c>
      <c r="C290" s="125">
        <v>8951942</v>
      </c>
      <c r="D290" s="125">
        <v>11090022</v>
      </c>
      <c r="E290" s="125">
        <v>12058254</v>
      </c>
      <c r="F290" s="125">
        <v>14629605</v>
      </c>
      <c r="G290" s="125">
        <v>21345787</v>
      </c>
    </row>
    <row r="291" spans="1:7" x14ac:dyDescent="0.45">
      <c r="A291" s="9" t="s">
        <v>574</v>
      </c>
      <c r="B291" s="125">
        <v>3155216</v>
      </c>
      <c r="C291" s="125">
        <v>3384671</v>
      </c>
      <c r="D291" s="125">
        <v>4557932</v>
      </c>
      <c r="E291" s="125">
        <v>4836457</v>
      </c>
      <c r="F291" s="125">
        <v>4600650</v>
      </c>
      <c r="G291" s="125">
        <v>8237404</v>
      </c>
    </row>
    <row r="292" spans="1:7" x14ac:dyDescent="0.45">
      <c r="A292" s="9" t="s">
        <v>575</v>
      </c>
      <c r="B292" s="125">
        <v>29483388</v>
      </c>
      <c r="C292" s="125">
        <v>35070126</v>
      </c>
      <c r="D292" s="125">
        <v>42353485</v>
      </c>
      <c r="E292" s="125">
        <v>42612664</v>
      </c>
      <c r="F292" s="125">
        <v>43751050</v>
      </c>
      <c r="G292" s="125">
        <v>47086663</v>
      </c>
    </row>
    <row r="293" spans="1:7" x14ac:dyDescent="0.45">
      <c r="A293" s="9" t="s">
        <v>576</v>
      </c>
      <c r="B293" s="125">
        <v>2523779</v>
      </c>
      <c r="C293" s="125">
        <v>3813001</v>
      </c>
      <c r="D293" s="125">
        <v>6659670</v>
      </c>
      <c r="E293" s="125">
        <v>7025444</v>
      </c>
      <c r="F293" s="125">
        <v>7181921</v>
      </c>
      <c r="G293" s="125">
        <v>10263280</v>
      </c>
    </row>
    <row r="294" spans="1:7" x14ac:dyDescent="0.45">
      <c r="A294" s="9" t="s">
        <v>577</v>
      </c>
      <c r="B294" s="125">
        <v>26959609</v>
      </c>
      <c r="C294" s="125">
        <v>31257125</v>
      </c>
      <c r="D294" s="125">
        <v>35693815</v>
      </c>
      <c r="E294" s="125">
        <v>35587220</v>
      </c>
      <c r="F294" s="125">
        <v>36569129</v>
      </c>
      <c r="G294" s="125">
        <v>36823383</v>
      </c>
    </row>
    <row r="295" spans="1:7" x14ac:dyDescent="0.45">
      <c r="A295" s="9" t="s">
        <v>578</v>
      </c>
      <c r="B295" s="125">
        <v>10159196</v>
      </c>
      <c r="C295" s="125">
        <v>12427861</v>
      </c>
      <c r="D295" s="125">
        <v>13157297</v>
      </c>
      <c r="E295" s="125">
        <v>13208962</v>
      </c>
      <c r="F295" s="125">
        <v>14496705</v>
      </c>
      <c r="G295" s="125">
        <v>18054474</v>
      </c>
    </row>
    <row r="296" spans="1:7" x14ac:dyDescent="0.45">
      <c r="A296" s="9" t="s">
        <v>579</v>
      </c>
      <c r="B296" s="125">
        <v>10159196</v>
      </c>
      <c r="C296" s="125">
        <v>12427861</v>
      </c>
      <c r="D296" s="125">
        <v>13157297</v>
      </c>
      <c r="E296" s="125">
        <v>13208962</v>
      </c>
      <c r="F296" s="125">
        <v>14496705</v>
      </c>
      <c r="G296" s="125">
        <v>18054474</v>
      </c>
    </row>
    <row r="297" spans="1:7" x14ac:dyDescent="0.45">
      <c r="A297" s="9" t="s">
        <v>580</v>
      </c>
      <c r="B297" s="125">
        <v>3064571</v>
      </c>
      <c r="C297" s="125">
        <v>3420111</v>
      </c>
      <c r="D297" s="125">
        <v>4280612</v>
      </c>
      <c r="E297" s="125">
        <v>4263950</v>
      </c>
      <c r="F297" s="125">
        <v>4240082</v>
      </c>
      <c r="G297" s="125">
        <v>6081524</v>
      </c>
    </row>
    <row r="298" spans="1:7" x14ac:dyDescent="0.45">
      <c r="A298" s="9" t="s">
        <v>581</v>
      </c>
      <c r="B298" s="125">
        <v>2361257</v>
      </c>
      <c r="C298" s="125">
        <v>2671032</v>
      </c>
      <c r="D298" s="125">
        <v>3553717</v>
      </c>
      <c r="E298" s="125">
        <v>3457417</v>
      </c>
      <c r="F298" s="125">
        <v>3740110</v>
      </c>
      <c r="G298" s="125">
        <v>5272388</v>
      </c>
    </row>
    <row r="299" spans="1:7" x14ac:dyDescent="0.45">
      <c r="A299" s="9" t="s">
        <v>582</v>
      </c>
      <c r="B299" s="125">
        <v>703314</v>
      </c>
      <c r="C299" s="125">
        <v>749079</v>
      </c>
      <c r="D299" s="125">
        <v>726895</v>
      </c>
      <c r="E299" s="125">
        <v>806533</v>
      </c>
      <c r="F299" s="125">
        <v>499972</v>
      </c>
      <c r="G299" s="125">
        <v>809136</v>
      </c>
    </row>
    <row r="300" spans="1:7" x14ac:dyDescent="0.45">
      <c r="A300" s="9" t="s">
        <v>195</v>
      </c>
      <c r="B300" s="125">
        <v>1047632</v>
      </c>
      <c r="C300" s="125">
        <v>1049279</v>
      </c>
      <c r="D300" s="125">
        <v>771105</v>
      </c>
      <c r="E300" s="125">
        <v>714910</v>
      </c>
      <c r="F300" s="125">
        <v>1402754</v>
      </c>
      <c r="G300" s="125">
        <v>988125</v>
      </c>
    </row>
    <row r="301" spans="1:7" x14ac:dyDescent="0.45">
      <c r="A301" s="9" t="s">
        <v>583</v>
      </c>
      <c r="B301" s="125">
        <v>1047632</v>
      </c>
      <c r="C301" s="125">
        <v>1049279</v>
      </c>
      <c r="D301" s="125">
        <v>771105</v>
      </c>
      <c r="E301" s="125">
        <v>714910</v>
      </c>
      <c r="F301" s="125">
        <v>1402754</v>
      </c>
      <c r="G301" s="125">
        <v>988125</v>
      </c>
    </row>
    <row r="302" spans="1:7" x14ac:dyDescent="0.45">
      <c r="A302" s="9" t="s">
        <v>584</v>
      </c>
      <c r="B302" s="125">
        <v>248005</v>
      </c>
      <c r="C302" s="125">
        <v>70933</v>
      </c>
      <c r="D302" s="125" t="s">
        <v>34</v>
      </c>
      <c r="E302" s="125">
        <v>97158</v>
      </c>
      <c r="F302" s="125">
        <v>115758</v>
      </c>
      <c r="G302" s="125">
        <v>36059</v>
      </c>
    </row>
    <row r="303" spans="1:7" x14ac:dyDescent="0.45">
      <c r="A303" s="9" t="s">
        <v>585</v>
      </c>
      <c r="B303" s="125">
        <v>248005</v>
      </c>
      <c r="C303" s="125">
        <v>70933</v>
      </c>
      <c r="D303" s="125" t="s">
        <v>34</v>
      </c>
      <c r="E303" s="125">
        <v>97158</v>
      </c>
      <c r="F303" s="125">
        <v>115758</v>
      </c>
      <c r="G303" s="125">
        <v>36059</v>
      </c>
    </row>
    <row r="304" spans="1:7" x14ac:dyDescent="0.45">
      <c r="A304" s="9" t="s">
        <v>586</v>
      </c>
      <c r="B304" s="125">
        <v>64780</v>
      </c>
      <c r="C304" s="125">
        <v>22594</v>
      </c>
      <c r="D304" s="125" t="s">
        <v>34</v>
      </c>
      <c r="E304" s="125" t="s">
        <v>35</v>
      </c>
      <c r="F304" s="125" t="s">
        <v>35</v>
      </c>
      <c r="G304" s="125" t="s">
        <v>35</v>
      </c>
    </row>
    <row r="305" spans="1:7" x14ac:dyDescent="0.45">
      <c r="A305" s="9" t="s">
        <v>587</v>
      </c>
      <c r="B305" s="125">
        <v>64780</v>
      </c>
      <c r="C305" s="125">
        <v>22594</v>
      </c>
      <c r="D305" s="125" t="s">
        <v>34</v>
      </c>
      <c r="E305" s="125" t="s">
        <v>35</v>
      </c>
      <c r="F305" s="125" t="s">
        <v>35</v>
      </c>
      <c r="G305" s="125" t="s">
        <v>35</v>
      </c>
    </row>
    <row r="306" spans="1:7" x14ac:dyDescent="0.45">
      <c r="A306" s="9" t="s">
        <v>588</v>
      </c>
      <c r="B306" s="125">
        <v>47119144</v>
      </c>
      <c r="C306" s="125">
        <v>49418576</v>
      </c>
      <c r="D306" s="125">
        <v>53797322</v>
      </c>
      <c r="E306" s="125">
        <v>60204689</v>
      </c>
      <c r="F306" s="125">
        <v>71688437</v>
      </c>
      <c r="G306" s="125">
        <v>100121728</v>
      </c>
    </row>
    <row r="307" spans="1:7" x14ac:dyDescent="0.45">
      <c r="A307" s="9" t="s">
        <v>589</v>
      </c>
      <c r="B307" s="125">
        <v>13919047</v>
      </c>
      <c r="C307" s="125">
        <v>14693317</v>
      </c>
      <c r="D307" s="125">
        <v>16204523</v>
      </c>
      <c r="E307" s="125">
        <v>19510727</v>
      </c>
      <c r="F307" s="125">
        <v>24741914</v>
      </c>
      <c r="G307" s="125">
        <v>34699000</v>
      </c>
    </row>
    <row r="308" spans="1:7" x14ac:dyDescent="0.45">
      <c r="A308" s="9" t="s">
        <v>590</v>
      </c>
      <c r="B308" s="125">
        <v>13919047</v>
      </c>
      <c r="C308" s="125">
        <v>14693317</v>
      </c>
      <c r="D308" s="125">
        <v>16204523</v>
      </c>
      <c r="E308" s="125">
        <v>19510727</v>
      </c>
      <c r="F308" s="125">
        <v>24741914</v>
      </c>
      <c r="G308" s="125">
        <v>34699000</v>
      </c>
    </row>
    <row r="309" spans="1:7" x14ac:dyDescent="0.45">
      <c r="A309" s="9" t="s">
        <v>591</v>
      </c>
      <c r="B309" s="125">
        <v>2458164</v>
      </c>
      <c r="C309" s="125">
        <v>2668657</v>
      </c>
      <c r="D309" s="125">
        <v>3035925</v>
      </c>
      <c r="E309" s="125">
        <v>3049908</v>
      </c>
      <c r="F309" s="125">
        <v>3542261</v>
      </c>
      <c r="G309" s="125">
        <v>5237330</v>
      </c>
    </row>
    <row r="310" spans="1:7" x14ac:dyDescent="0.45">
      <c r="A310" s="9" t="s">
        <v>592</v>
      </c>
      <c r="B310" s="125">
        <v>554184</v>
      </c>
      <c r="C310" s="125">
        <v>664143</v>
      </c>
      <c r="D310" s="125">
        <v>710116</v>
      </c>
      <c r="E310" s="125">
        <v>892344</v>
      </c>
      <c r="F310" s="125">
        <v>1345022</v>
      </c>
      <c r="G310" s="125">
        <v>1684060</v>
      </c>
    </row>
    <row r="311" spans="1:7" x14ac:dyDescent="0.45">
      <c r="A311" s="9" t="s">
        <v>593</v>
      </c>
      <c r="B311" s="125">
        <v>1903980</v>
      </c>
      <c r="C311" s="125">
        <v>2004514</v>
      </c>
      <c r="D311" s="125">
        <v>2325809</v>
      </c>
      <c r="E311" s="125">
        <v>2157564</v>
      </c>
      <c r="F311" s="125">
        <v>2197239</v>
      </c>
      <c r="G311" s="125">
        <v>3553270</v>
      </c>
    </row>
    <row r="312" spans="1:7" x14ac:dyDescent="0.45">
      <c r="A312" s="9" t="s">
        <v>594</v>
      </c>
      <c r="B312" s="125">
        <v>13322748</v>
      </c>
      <c r="C312" s="125">
        <v>13657086</v>
      </c>
      <c r="D312" s="125">
        <v>15835547</v>
      </c>
      <c r="E312" s="125">
        <v>17139888</v>
      </c>
      <c r="F312" s="125">
        <v>22660282</v>
      </c>
      <c r="G312" s="125">
        <v>32463821</v>
      </c>
    </row>
    <row r="313" spans="1:7" x14ac:dyDescent="0.45">
      <c r="A313" s="9" t="s">
        <v>595</v>
      </c>
      <c r="B313" s="125">
        <v>2834086</v>
      </c>
      <c r="C313" s="125">
        <v>2729886</v>
      </c>
      <c r="D313" s="125">
        <v>3216574</v>
      </c>
      <c r="E313" s="125">
        <v>3991410</v>
      </c>
      <c r="F313" s="125">
        <v>5947853</v>
      </c>
      <c r="G313" s="125">
        <v>7213727</v>
      </c>
    </row>
    <row r="314" spans="1:7" x14ac:dyDescent="0.45">
      <c r="A314" s="9" t="s">
        <v>596</v>
      </c>
      <c r="B314" s="125">
        <v>2438596</v>
      </c>
      <c r="C314" s="125">
        <v>2031570</v>
      </c>
      <c r="D314" s="125">
        <v>2185000</v>
      </c>
      <c r="E314" s="125">
        <v>2233010</v>
      </c>
      <c r="F314" s="125">
        <v>2486068</v>
      </c>
      <c r="G314" s="125">
        <v>3409203</v>
      </c>
    </row>
    <row r="315" spans="1:7" x14ac:dyDescent="0.45">
      <c r="A315" s="9" t="s">
        <v>597</v>
      </c>
      <c r="B315" s="125">
        <v>8050066</v>
      </c>
      <c r="C315" s="125">
        <v>8895630</v>
      </c>
      <c r="D315" s="125">
        <v>10433973</v>
      </c>
      <c r="E315" s="125">
        <v>10915468</v>
      </c>
      <c r="F315" s="125">
        <v>14226361</v>
      </c>
      <c r="G315" s="125">
        <v>21840891</v>
      </c>
    </row>
    <row r="316" spans="1:7" x14ac:dyDescent="0.45">
      <c r="A316" s="9" t="s">
        <v>598</v>
      </c>
      <c r="B316" s="125">
        <v>983513</v>
      </c>
      <c r="C316" s="125">
        <v>794714</v>
      </c>
      <c r="D316" s="125">
        <v>1133069</v>
      </c>
      <c r="E316" s="125">
        <v>1254094</v>
      </c>
      <c r="F316" s="125">
        <v>1646859</v>
      </c>
      <c r="G316" s="125">
        <v>1835234</v>
      </c>
    </row>
    <row r="317" spans="1:7" x14ac:dyDescent="0.45">
      <c r="A317" s="9" t="s">
        <v>599</v>
      </c>
      <c r="B317" s="125">
        <v>983513</v>
      </c>
      <c r="C317" s="125">
        <v>794714</v>
      </c>
      <c r="D317" s="125">
        <v>1133069</v>
      </c>
      <c r="E317" s="125">
        <v>1254094</v>
      </c>
      <c r="F317" s="125">
        <v>1646859</v>
      </c>
      <c r="G317" s="125">
        <v>1835234</v>
      </c>
    </row>
    <row r="318" spans="1:7" x14ac:dyDescent="0.45">
      <c r="A318" s="9" t="s">
        <v>600</v>
      </c>
      <c r="B318" s="125">
        <v>14784664</v>
      </c>
      <c r="C318" s="125">
        <v>15997023</v>
      </c>
      <c r="D318" s="125">
        <v>15346971</v>
      </c>
      <c r="E318" s="125">
        <v>17376002</v>
      </c>
      <c r="F318" s="125">
        <v>17144177</v>
      </c>
      <c r="G318" s="125">
        <v>23174501</v>
      </c>
    </row>
    <row r="319" spans="1:7" x14ac:dyDescent="0.45">
      <c r="A319" s="9" t="s">
        <v>601</v>
      </c>
      <c r="B319" s="125">
        <v>11855747</v>
      </c>
      <c r="C319" s="125">
        <v>13086855</v>
      </c>
      <c r="D319" s="125">
        <v>12418899</v>
      </c>
      <c r="E319" s="125">
        <v>13988125</v>
      </c>
      <c r="F319" s="125">
        <v>13208511</v>
      </c>
      <c r="G319" s="125">
        <v>17602885</v>
      </c>
    </row>
    <row r="320" spans="1:7" x14ac:dyDescent="0.45">
      <c r="A320" s="9" t="s">
        <v>602</v>
      </c>
      <c r="B320" s="125">
        <v>2928917</v>
      </c>
      <c r="C320" s="125">
        <v>2910168</v>
      </c>
      <c r="D320" s="125">
        <v>2928072</v>
      </c>
      <c r="E320" s="125">
        <v>3387877</v>
      </c>
      <c r="F320" s="125">
        <v>3935666</v>
      </c>
      <c r="G320" s="125">
        <v>5571616</v>
      </c>
    </row>
    <row r="321" spans="1:7" x14ac:dyDescent="0.45">
      <c r="A321" s="9" t="s">
        <v>275</v>
      </c>
      <c r="B321" s="125">
        <v>1651008</v>
      </c>
      <c r="C321" s="125">
        <v>1607779</v>
      </c>
      <c r="D321" s="125">
        <v>2241287</v>
      </c>
      <c r="E321" s="125">
        <v>1874070</v>
      </c>
      <c r="F321" s="125">
        <v>1952944</v>
      </c>
      <c r="G321" s="125">
        <v>2711842</v>
      </c>
    </row>
    <row r="322" spans="1:7" x14ac:dyDescent="0.45">
      <c r="A322" s="9" t="s">
        <v>276</v>
      </c>
      <c r="B322" s="125">
        <v>1651008</v>
      </c>
      <c r="C322" s="125">
        <v>1607779</v>
      </c>
      <c r="D322" s="125">
        <v>2241287</v>
      </c>
      <c r="E322" s="125">
        <v>1874070</v>
      </c>
      <c r="F322" s="125">
        <v>1952944</v>
      </c>
      <c r="G322" s="125">
        <v>2711842</v>
      </c>
    </row>
    <row r="323" spans="1:7" x14ac:dyDescent="0.45">
      <c r="A323" s="9" t="s">
        <v>42</v>
      </c>
      <c r="B323" s="125">
        <v>62971239</v>
      </c>
      <c r="C323" s="125">
        <v>68264603</v>
      </c>
      <c r="D323" s="125">
        <v>82221884</v>
      </c>
      <c r="E323" s="125">
        <v>91407608</v>
      </c>
      <c r="F323" s="125">
        <v>100692198</v>
      </c>
      <c r="G323" s="125">
        <v>163374647</v>
      </c>
    </row>
    <row r="324" spans="1:7" x14ac:dyDescent="0.45">
      <c r="A324" s="9" t="s">
        <v>603</v>
      </c>
      <c r="B324" s="125">
        <v>11489560</v>
      </c>
      <c r="C324" s="125">
        <v>12075687</v>
      </c>
      <c r="D324" s="125">
        <v>11721389</v>
      </c>
      <c r="E324" s="125">
        <v>13512171</v>
      </c>
      <c r="F324" s="125">
        <v>15216107</v>
      </c>
      <c r="G324" s="125">
        <v>20007462</v>
      </c>
    </row>
    <row r="325" spans="1:7" x14ac:dyDescent="0.45">
      <c r="A325" s="9" t="s">
        <v>604</v>
      </c>
      <c r="B325" s="125">
        <v>2083110</v>
      </c>
      <c r="C325" s="125">
        <v>2930835</v>
      </c>
      <c r="D325" s="125">
        <v>1385917</v>
      </c>
      <c r="E325" s="125">
        <v>1713807</v>
      </c>
      <c r="F325" s="125">
        <v>2138136</v>
      </c>
      <c r="G325" s="125">
        <v>1382123</v>
      </c>
    </row>
    <row r="326" spans="1:7" x14ac:dyDescent="0.45">
      <c r="A326" s="9" t="s">
        <v>605</v>
      </c>
      <c r="B326" s="125">
        <v>3608041</v>
      </c>
      <c r="C326" s="125">
        <v>3372796</v>
      </c>
      <c r="D326" s="125">
        <v>3850147</v>
      </c>
      <c r="E326" s="125">
        <v>3566905</v>
      </c>
      <c r="F326" s="125">
        <v>4033538</v>
      </c>
      <c r="G326" s="125">
        <v>5678532</v>
      </c>
    </row>
    <row r="327" spans="1:7" x14ac:dyDescent="0.45">
      <c r="A327" s="9" t="s">
        <v>606</v>
      </c>
      <c r="B327" s="125">
        <v>1919857</v>
      </c>
      <c r="C327" s="125">
        <v>1984003</v>
      </c>
      <c r="D327" s="125">
        <v>2039964</v>
      </c>
      <c r="E327" s="125">
        <v>2294646</v>
      </c>
      <c r="F327" s="125">
        <v>2937017</v>
      </c>
      <c r="G327" s="125">
        <v>3874236</v>
      </c>
    </row>
    <row r="328" spans="1:7" x14ac:dyDescent="0.45">
      <c r="A328" s="9" t="s">
        <v>607</v>
      </c>
      <c r="B328" s="125">
        <v>2090430</v>
      </c>
      <c r="C328" s="125">
        <v>2097265</v>
      </c>
      <c r="D328" s="125">
        <v>2286218</v>
      </c>
      <c r="E328" s="125">
        <v>3818622</v>
      </c>
      <c r="F328" s="125">
        <v>3821272</v>
      </c>
      <c r="G328" s="125">
        <v>5923832</v>
      </c>
    </row>
    <row r="329" spans="1:7" x14ac:dyDescent="0.45">
      <c r="A329" s="9" t="s">
        <v>608</v>
      </c>
      <c r="B329" s="125">
        <v>1788122</v>
      </c>
      <c r="C329" s="125">
        <v>1690788</v>
      </c>
      <c r="D329" s="125">
        <v>2159143</v>
      </c>
      <c r="E329" s="125">
        <v>2118191</v>
      </c>
      <c r="F329" s="125">
        <v>2286144</v>
      </c>
      <c r="G329" s="125">
        <v>3148739</v>
      </c>
    </row>
    <row r="330" spans="1:7" x14ac:dyDescent="0.45">
      <c r="A330" s="9" t="s">
        <v>609</v>
      </c>
      <c r="B330" s="125">
        <v>15273342</v>
      </c>
      <c r="C330" s="125">
        <v>14833169</v>
      </c>
      <c r="D330" s="125">
        <v>19677721</v>
      </c>
      <c r="E330" s="125">
        <v>22612203</v>
      </c>
      <c r="F330" s="125">
        <v>24382697</v>
      </c>
      <c r="G330" s="125">
        <v>35280012</v>
      </c>
    </row>
    <row r="331" spans="1:7" x14ac:dyDescent="0.45">
      <c r="A331" s="9" t="s">
        <v>610</v>
      </c>
      <c r="B331" s="125">
        <v>673851</v>
      </c>
      <c r="C331" s="125">
        <v>591530</v>
      </c>
      <c r="D331" s="125">
        <v>745133</v>
      </c>
      <c r="E331" s="125">
        <v>818055</v>
      </c>
      <c r="F331" s="125">
        <v>765039</v>
      </c>
      <c r="G331" s="125">
        <v>1128725</v>
      </c>
    </row>
    <row r="332" spans="1:7" x14ac:dyDescent="0.45">
      <c r="A332" s="9" t="s">
        <v>278</v>
      </c>
      <c r="B332" s="125">
        <v>5086170</v>
      </c>
      <c r="C332" s="125">
        <v>4597017</v>
      </c>
      <c r="D332" s="125">
        <v>5607275</v>
      </c>
      <c r="E332" s="125">
        <v>5851826</v>
      </c>
      <c r="F332" s="125">
        <v>5974306</v>
      </c>
      <c r="G332" s="125">
        <v>9485761</v>
      </c>
    </row>
    <row r="333" spans="1:7" x14ac:dyDescent="0.45">
      <c r="A333" s="9" t="s">
        <v>611</v>
      </c>
      <c r="B333" s="125">
        <v>2857536</v>
      </c>
      <c r="C333" s="125">
        <v>2893956</v>
      </c>
      <c r="D333" s="125">
        <v>3495792</v>
      </c>
      <c r="E333" s="125">
        <v>3903469</v>
      </c>
      <c r="F333" s="125">
        <v>3731225</v>
      </c>
      <c r="G333" s="125">
        <v>5837853</v>
      </c>
    </row>
    <row r="334" spans="1:7" x14ac:dyDescent="0.45">
      <c r="A334" s="9" t="s">
        <v>612</v>
      </c>
      <c r="B334" s="125">
        <v>2535581</v>
      </c>
      <c r="C334" s="125">
        <v>2915151</v>
      </c>
      <c r="D334" s="125">
        <v>4095146</v>
      </c>
      <c r="E334" s="125">
        <v>5326927</v>
      </c>
      <c r="F334" s="125">
        <v>5294239</v>
      </c>
      <c r="G334" s="125">
        <v>9097470</v>
      </c>
    </row>
    <row r="335" spans="1:7" x14ac:dyDescent="0.45">
      <c r="A335" s="9" t="s">
        <v>613</v>
      </c>
      <c r="B335" s="125">
        <v>427187</v>
      </c>
      <c r="C335" s="125">
        <v>345165</v>
      </c>
      <c r="D335" s="125">
        <v>510542</v>
      </c>
      <c r="E335" s="125">
        <v>660577</v>
      </c>
      <c r="F335" s="125">
        <v>1000637</v>
      </c>
      <c r="G335" s="125">
        <v>872564</v>
      </c>
    </row>
    <row r="336" spans="1:7" x14ac:dyDescent="0.45">
      <c r="A336" s="9" t="s">
        <v>279</v>
      </c>
      <c r="B336" s="125">
        <v>3693017</v>
      </c>
      <c r="C336" s="125">
        <v>3490350</v>
      </c>
      <c r="D336" s="125">
        <v>5223833</v>
      </c>
      <c r="E336" s="125">
        <v>6051349</v>
      </c>
      <c r="F336" s="125">
        <v>7617251</v>
      </c>
      <c r="G336" s="125">
        <v>8857639</v>
      </c>
    </row>
    <row r="337" spans="1:7" x14ac:dyDescent="0.45">
      <c r="A337" s="9" t="s">
        <v>614</v>
      </c>
      <c r="B337" s="125">
        <v>18466565</v>
      </c>
      <c r="C337" s="125">
        <v>21379650</v>
      </c>
      <c r="D337" s="125">
        <v>26338504</v>
      </c>
      <c r="E337" s="125">
        <v>28339096</v>
      </c>
      <c r="F337" s="125">
        <v>30514877</v>
      </c>
      <c r="G337" s="125">
        <v>57811690</v>
      </c>
    </row>
    <row r="338" spans="1:7" x14ac:dyDescent="0.45">
      <c r="A338" s="9" t="s">
        <v>45</v>
      </c>
      <c r="B338" s="125">
        <v>3429545</v>
      </c>
      <c r="C338" s="125">
        <v>8949171</v>
      </c>
      <c r="D338" s="125">
        <v>3990201</v>
      </c>
      <c r="E338" s="125">
        <v>4090941</v>
      </c>
      <c r="F338" s="125">
        <v>4309429</v>
      </c>
      <c r="G338" s="125">
        <v>22182557</v>
      </c>
    </row>
    <row r="339" spans="1:7" x14ac:dyDescent="0.45">
      <c r="A339" s="9" t="s">
        <v>46</v>
      </c>
      <c r="B339" s="125">
        <v>826220</v>
      </c>
      <c r="C339" s="125">
        <v>943199</v>
      </c>
      <c r="D339" s="125">
        <v>929186</v>
      </c>
      <c r="E339" s="125">
        <v>1036227</v>
      </c>
      <c r="F339" s="125">
        <v>1286614</v>
      </c>
      <c r="G339" s="125">
        <v>2482633</v>
      </c>
    </row>
    <row r="340" spans="1:7" x14ac:dyDescent="0.45">
      <c r="A340" s="9" t="s">
        <v>47</v>
      </c>
      <c r="B340" s="125">
        <v>14210800</v>
      </c>
      <c r="C340" s="125">
        <v>11487280</v>
      </c>
      <c r="D340" s="125">
        <v>21419117</v>
      </c>
      <c r="E340" s="125">
        <v>23211928</v>
      </c>
      <c r="F340" s="125">
        <v>24918834</v>
      </c>
      <c r="G340" s="125">
        <v>33146500</v>
      </c>
    </row>
    <row r="341" spans="1:7" x14ac:dyDescent="0.45">
      <c r="A341" s="9" t="s">
        <v>615</v>
      </c>
      <c r="B341" s="125">
        <v>2983636</v>
      </c>
      <c r="C341" s="125">
        <v>3016437</v>
      </c>
      <c r="D341" s="125">
        <v>3506579</v>
      </c>
      <c r="E341" s="125">
        <v>4039941</v>
      </c>
      <c r="F341" s="125">
        <v>4473829</v>
      </c>
      <c r="G341" s="125">
        <v>6915113</v>
      </c>
    </row>
    <row r="342" spans="1:7" x14ac:dyDescent="0.45">
      <c r="A342" s="9" t="s">
        <v>280</v>
      </c>
      <c r="B342" s="125">
        <v>2983636</v>
      </c>
      <c r="C342" s="125">
        <v>3016437</v>
      </c>
      <c r="D342" s="125">
        <v>3506579</v>
      </c>
      <c r="E342" s="125">
        <v>4039941</v>
      </c>
      <c r="F342" s="125">
        <v>4473829</v>
      </c>
      <c r="G342" s="125">
        <v>6915113</v>
      </c>
    </row>
    <row r="343" spans="1:7" x14ac:dyDescent="0.45">
      <c r="A343" s="9" t="s">
        <v>616</v>
      </c>
      <c r="B343" s="125">
        <v>8551159</v>
      </c>
      <c r="C343" s="125">
        <v>10816245</v>
      </c>
      <c r="D343" s="125">
        <v>13867015</v>
      </c>
      <c r="E343" s="125">
        <v>15160047</v>
      </c>
      <c r="F343" s="125">
        <v>17189694</v>
      </c>
      <c r="G343" s="125">
        <v>29748848</v>
      </c>
    </row>
    <row r="344" spans="1:7" x14ac:dyDescent="0.45">
      <c r="A344" s="9" t="s">
        <v>617</v>
      </c>
      <c r="B344" s="125">
        <v>2292677</v>
      </c>
      <c r="C344" s="125">
        <v>1918937</v>
      </c>
      <c r="D344" s="125">
        <v>1654003</v>
      </c>
      <c r="E344" s="125">
        <v>1933979</v>
      </c>
      <c r="F344" s="125">
        <v>2680151</v>
      </c>
      <c r="G344" s="125">
        <v>3931991</v>
      </c>
    </row>
    <row r="345" spans="1:7" x14ac:dyDescent="0.45">
      <c r="A345" s="9" t="s">
        <v>281</v>
      </c>
      <c r="B345" s="125">
        <v>984130</v>
      </c>
      <c r="C345" s="125">
        <v>1031695</v>
      </c>
      <c r="D345" s="125">
        <v>1481901</v>
      </c>
      <c r="E345" s="125">
        <v>2034775</v>
      </c>
      <c r="F345" s="125">
        <v>2229953</v>
      </c>
      <c r="G345" s="125">
        <v>3237896</v>
      </c>
    </row>
    <row r="346" spans="1:7" x14ac:dyDescent="0.45">
      <c r="A346" s="9" t="s">
        <v>618</v>
      </c>
      <c r="B346" s="125">
        <v>124611</v>
      </c>
      <c r="C346" s="125">
        <v>135114</v>
      </c>
      <c r="D346" s="125">
        <v>141511</v>
      </c>
      <c r="E346" s="125">
        <v>179358</v>
      </c>
      <c r="F346" s="125">
        <v>472401</v>
      </c>
      <c r="G346" s="125">
        <v>297149</v>
      </c>
    </row>
    <row r="347" spans="1:7" x14ac:dyDescent="0.45">
      <c r="A347" s="9" t="s">
        <v>619</v>
      </c>
      <c r="B347" s="125">
        <v>5149741</v>
      </c>
      <c r="C347" s="125">
        <v>7730499</v>
      </c>
      <c r="D347" s="125">
        <v>10589600</v>
      </c>
      <c r="E347" s="125">
        <v>11011935</v>
      </c>
      <c r="F347" s="125">
        <v>11807189</v>
      </c>
      <c r="G347" s="125">
        <v>22281812</v>
      </c>
    </row>
    <row r="348" spans="1:7" x14ac:dyDescent="0.45">
      <c r="A348" s="9" t="s">
        <v>620</v>
      </c>
      <c r="B348" s="125">
        <v>6206977</v>
      </c>
      <c r="C348" s="125">
        <v>6143415</v>
      </c>
      <c r="D348" s="125">
        <v>7110676</v>
      </c>
      <c r="E348" s="125">
        <v>7744150</v>
      </c>
      <c r="F348" s="125">
        <v>8914994</v>
      </c>
      <c r="G348" s="125">
        <v>13611522</v>
      </c>
    </row>
    <row r="349" spans="1:7" x14ac:dyDescent="0.45">
      <c r="A349" s="9" t="s">
        <v>621</v>
      </c>
      <c r="B349" s="125">
        <v>190635</v>
      </c>
      <c r="C349" s="125">
        <v>218111</v>
      </c>
      <c r="D349" s="125">
        <v>196280</v>
      </c>
      <c r="E349" s="125">
        <v>195455</v>
      </c>
      <c r="F349" s="125">
        <v>218389</v>
      </c>
      <c r="G349" s="125">
        <v>327782</v>
      </c>
    </row>
    <row r="350" spans="1:7" x14ac:dyDescent="0.45">
      <c r="A350" s="9" t="s">
        <v>282</v>
      </c>
      <c r="B350" s="125">
        <v>2414674</v>
      </c>
      <c r="C350" s="125">
        <v>2123710</v>
      </c>
      <c r="D350" s="125">
        <v>2753760</v>
      </c>
      <c r="E350" s="125">
        <v>2905728</v>
      </c>
      <c r="F350" s="125">
        <v>3050027</v>
      </c>
      <c r="G350" s="125">
        <v>4161055</v>
      </c>
    </row>
    <row r="351" spans="1:7" x14ac:dyDescent="0.45">
      <c r="A351" s="9" t="s">
        <v>622</v>
      </c>
      <c r="B351" s="125">
        <v>154745</v>
      </c>
      <c r="C351" s="125">
        <v>158874</v>
      </c>
      <c r="D351" s="125">
        <v>243717</v>
      </c>
      <c r="E351" s="125">
        <v>230811</v>
      </c>
      <c r="F351" s="125">
        <v>115448</v>
      </c>
      <c r="G351" s="125">
        <v>324706</v>
      </c>
    </row>
    <row r="352" spans="1:7" x14ac:dyDescent="0.45">
      <c r="A352" s="9" t="s">
        <v>623</v>
      </c>
      <c r="B352" s="125">
        <v>157871</v>
      </c>
      <c r="C352" s="125">
        <v>168061</v>
      </c>
      <c r="D352" s="125">
        <v>209119</v>
      </c>
      <c r="E352" s="125">
        <v>199808</v>
      </c>
      <c r="F352" s="125">
        <v>167322</v>
      </c>
      <c r="G352" s="125">
        <v>255057</v>
      </c>
    </row>
    <row r="353" spans="1:7" x14ac:dyDescent="0.45">
      <c r="A353" s="9" t="s">
        <v>624</v>
      </c>
      <c r="B353" s="125">
        <v>906517</v>
      </c>
      <c r="C353" s="125">
        <v>1016522</v>
      </c>
      <c r="D353" s="125">
        <v>827299</v>
      </c>
      <c r="E353" s="125">
        <v>880685</v>
      </c>
      <c r="F353" s="125">
        <v>1863979</v>
      </c>
      <c r="G353" s="125">
        <v>1928938</v>
      </c>
    </row>
    <row r="354" spans="1:7" x14ac:dyDescent="0.45">
      <c r="A354" s="9" t="s">
        <v>625</v>
      </c>
      <c r="B354" s="125">
        <v>145601</v>
      </c>
      <c r="C354" s="125">
        <v>142147</v>
      </c>
      <c r="D354" s="125">
        <v>175039</v>
      </c>
      <c r="E354" s="125">
        <v>281912</v>
      </c>
      <c r="F354" s="125">
        <v>353071</v>
      </c>
      <c r="G354" s="125">
        <v>595835</v>
      </c>
    </row>
    <row r="355" spans="1:7" x14ac:dyDescent="0.45">
      <c r="A355" s="9" t="s">
        <v>283</v>
      </c>
      <c r="B355" s="125">
        <v>2236934</v>
      </c>
      <c r="C355" s="125">
        <v>2315990</v>
      </c>
      <c r="D355" s="125">
        <v>2705462</v>
      </c>
      <c r="E355" s="125">
        <v>3049751</v>
      </c>
      <c r="F355" s="125">
        <v>3146758</v>
      </c>
      <c r="G355" s="125">
        <v>6018149</v>
      </c>
    </row>
    <row r="356" spans="1:7" x14ac:dyDescent="0.45">
      <c r="A356" s="9" t="s">
        <v>249</v>
      </c>
      <c r="B356" s="125">
        <v>171184800</v>
      </c>
      <c r="C356" s="125">
        <v>196555883</v>
      </c>
      <c r="D356" s="125">
        <v>230502823</v>
      </c>
      <c r="E356" s="125">
        <v>249597517</v>
      </c>
      <c r="F356" s="125">
        <v>219079216</v>
      </c>
      <c r="G356" s="125">
        <v>307704842</v>
      </c>
    </row>
    <row r="357" spans="1:7" x14ac:dyDescent="0.45">
      <c r="A357" s="9" t="s">
        <v>250</v>
      </c>
      <c r="B357" s="125">
        <v>92338416</v>
      </c>
      <c r="C357" s="125">
        <v>107362407</v>
      </c>
      <c r="D357" s="125">
        <v>121430229</v>
      </c>
      <c r="E357" s="125">
        <v>126820405</v>
      </c>
      <c r="F357" s="125">
        <v>110082647</v>
      </c>
      <c r="G357" s="125">
        <v>134787551</v>
      </c>
    </row>
    <row r="358" spans="1:7" x14ac:dyDescent="0.45">
      <c r="A358" s="9" t="s">
        <v>251</v>
      </c>
      <c r="B358" s="125">
        <v>92338416</v>
      </c>
      <c r="C358" s="125">
        <v>107362407</v>
      </c>
      <c r="D358" s="125">
        <v>121430229</v>
      </c>
      <c r="E358" s="125">
        <v>126820405</v>
      </c>
      <c r="F358" s="125">
        <v>110082647</v>
      </c>
      <c r="G358" s="125">
        <v>134787551</v>
      </c>
    </row>
    <row r="359" spans="1:7" x14ac:dyDescent="0.45">
      <c r="A359" s="9" t="s">
        <v>252</v>
      </c>
      <c r="B359" s="125">
        <v>19320134</v>
      </c>
      <c r="C359" s="125">
        <v>21489847</v>
      </c>
      <c r="D359" s="125">
        <v>30484908</v>
      </c>
      <c r="E359" s="125">
        <v>35953029</v>
      </c>
      <c r="F359" s="125">
        <v>30940118</v>
      </c>
      <c r="G359" s="125">
        <v>55679404</v>
      </c>
    </row>
    <row r="360" spans="1:7" x14ac:dyDescent="0.45">
      <c r="A360" s="9" t="s">
        <v>626</v>
      </c>
      <c r="B360" s="125">
        <v>19320134</v>
      </c>
      <c r="C360" s="125">
        <v>21489847</v>
      </c>
      <c r="D360" s="125">
        <v>30484908</v>
      </c>
      <c r="E360" s="125">
        <v>35953029</v>
      </c>
      <c r="F360" s="125">
        <v>30940118</v>
      </c>
      <c r="G360" s="125">
        <v>55679404</v>
      </c>
    </row>
    <row r="361" spans="1:7" x14ac:dyDescent="0.45">
      <c r="A361" s="9" t="s">
        <v>627</v>
      </c>
      <c r="B361" s="125">
        <v>6321370</v>
      </c>
      <c r="C361" s="125">
        <v>6286037</v>
      </c>
      <c r="D361" s="125">
        <v>9256079</v>
      </c>
      <c r="E361" s="125">
        <v>12274334</v>
      </c>
      <c r="F361" s="125">
        <v>11129196</v>
      </c>
      <c r="G361" s="125">
        <v>15229783</v>
      </c>
    </row>
    <row r="362" spans="1:7" x14ac:dyDescent="0.45">
      <c r="A362" s="9" t="s">
        <v>628</v>
      </c>
      <c r="B362" s="125">
        <v>6321370</v>
      </c>
      <c r="C362" s="125">
        <v>6286037</v>
      </c>
      <c r="D362" s="125">
        <v>9256079</v>
      </c>
      <c r="E362" s="125">
        <v>12274334</v>
      </c>
      <c r="F362" s="125">
        <v>11129196</v>
      </c>
      <c r="G362" s="125">
        <v>15229783</v>
      </c>
    </row>
    <row r="363" spans="1:7" x14ac:dyDescent="0.45">
      <c r="A363" s="9" t="s">
        <v>253</v>
      </c>
      <c r="B363" s="125">
        <v>53136404</v>
      </c>
      <c r="C363" s="125">
        <v>61359374</v>
      </c>
      <c r="D363" s="125">
        <v>69287430</v>
      </c>
      <c r="E363" s="125">
        <v>74502901</v>
      </c>
      <c r="F363" s="125">
        <v>66879855</v>
      </c>
      <c r="G363" s="125">
        <v>101937433</v>
      </c>
    </row>
    <row r="364" spans="1:7" x14ac:dyDescent="0.45">
      <c r="A364" s="9" t="s">
        <v>629</v>
      </c>
      <c r="B364" s="125">
        <v>7726123</v>
      </c>
      <c r="C364" s="125">
        <v>8977468</v>
      </c>
      <c r="D364" s="125">
        <v>9577568</v>
      </c>
      <c r="E364" s="125">
        <v>11176117</v>
      </c>
      <c r="F364" s="125">
        <v>14169666</v>
      </c>
      <c r="G364" s="125">
        <v>19380859</v>
      </c>
    </row>
    <row r="365" spans="1:7" x14ac:dyDescent="0.45">
      <c r="A365" s="9" t="s">
        <v>630</v>
      </c>
      <c r="B365" s="125">
        <v>4919686</v>
      </c>
      <c r="C365" s="125">
        <v>6181651</v>
      </c>
      <c r="D365" s="125">
        <v>7440894</v>
      </c>
      <c r="E365" s="125">
        <v>7338806</v>
      </c>
      <c r="F365" s="125">
        <v>6675362</v>
      </c>
      <c r="G365" s="125">
        <v>10439371</v>
      </c>
    </row>
    <row r="366" spans="1:7" x14ac:dyDescent="0.45">
      <c r="A366" s="9" t="s">
        <v>631</v>
      </c>
      <c r="B366" s="125">
        <v>3560572</v>
      </c>
      <c r="C366" s="125">
        <v>4001203</v>
      </c>
      <c r="D366" s="125">
        <v>5070855</v>
      </c>
      <c r="E366" s="125">
        <v>3787384</v>
      </c>
      <c r="F366" s="125">
        <v>3878889</v>
      </c>
      <c r="G366" s="125">
        <v>7190098</v>
      </c>
    </row>
    <row r="367" spans="1:7" x14ac:dyDescent="0.45">
      <c r="A367" s="9" t="s">
        <v>632</v>
      </c>
      <c r="B367" s="125">
        <v>5301827</v>
      </c>
      <c r="C367" s="125">
        <v>6578706</v>
      </c>
      <c r="D367" s="125">
        <v>7429147</v>
      </c>
      <c r="E367" s="125">
        <v>8145855</v>
      </c>
      <c r="F367" s="125">
        <v>7630453</v>
      </c>
      <c r="G367" s="125">
        <v>13730091</v>
      </c>
    </row>
    <row r="368" spans="1:7" x14ac:dyDescent="0.45">
      <c r="A368" s="9" t="s">
        <v>277</v>
      </c>
      <c r="B368" s="125">
        <v>10143381</v>
      </c>
      <c r="C368" s="125">
        <v>10181523</v>
      </c>
      <c r="D368" s="125">
        <v>10834930</v>
      </c>
      <c r="E368" s="125">
        <v>11047086</v>
      </c>
      <c r="F368" s="125">
        <v>7341875</v>
      </c>
      <c r="G368" s="125">
        <v>10302350</v>
      </c>
    </row>
    <row r="369" spans="1:7" x14ac:dyDescent="0.45">
      <c r="A369" s="9" t="s">
        <v>633</v>
      </c>
      <c r="B369" s="125">
        <v>21484815</v>
      </c>
      <c r="C369" s="125">
        <v>25438823</v>
      </c>
      <c r="D369" s="125">
        <v>28934036</v>
      </c>
      <c r="E369" s="125">
        <v>33007653</v>
      </c>
      <c r="F369" s="125">
        <v>27183610</v>
      </c>
      <c r="G369" s="125">
        <v>40894664</v>
      </c>
    </row>
    <row r="370" spans="1:7" x14ac:dyDescent="0.45">
      <c r="A370" s="9" t="s">
        <v>254</v>
      </c>
      <c r="B370" s="125">
        <v>68476</v>
      </c>
      <c r="C370" s="125">
        <v>58218</v>
      </c>
      <c r="D370" s="125">
        <v>44177</v>
      </c>
      <c r="E370" s="125">
        <v>46848</v>
      </c>
      <c r="F370" s="125">
        <v>47400</v>
      </c>
      <c r="G370" s="125">
        <v>70671</v>
      </c>
    </row>
    <row r="371" spans="1:7" x14ac:dyDescent="0.45">
      <c r="A371" s="9" t="s">
        <v>634</v>
      </c>
      <c r="B371" s="125">
        <v>68476</v>
      </c>
      <c r="C371" s="125">
        <v>58218</v>
      </c>
      <c r="D371" s="125">
        <v>44177</v>
      </c>
      <c r="E371" s="125">
        <v>46848</v>
      </c>
      <c r="F371" s="125">
        <v>47400</v>
      </c>
      <c r="G371" s="125">
        <v>70671</v>
      </c>
    </row>
    <row r="372" spans="1:7" x14ac:dyDescent="0.45">
      <c r="A372" s="9" t="s">
        <v>255</v>
      </c>
      <c r="B372" s="125">
        <v>33460033</v>
      </c>
      <c r="C372" s="125">
        <v>27886843</v>
      </c>
      <c r="D372" s="125">
        <v>29512642</v>
      </c>
      <c r="E372" s="125">
        <v>29083222</v>
      </c>
      <c r="F372" s="125">
        <v>32740994</v>
      </c>
      <c r="G372" s="125">
        <v>37300575</v>
      </c>
    </row>
    <row r="373" spans="1:7" x14ac:dyDescent="0.45">
      <c r="A373" s="9" t="s">
        <v>256</v>
      </c>
      <c r="B373" s="125">
        <v>6623467</v>
      </c>
      <c r="C373" s="125">
        <v>4531932</v>
      </c>
      <c r="D373" s="125">
        <v>3818855</v>
      </c>
      <c r="E373" s="125">
        <v>2916836</v>
      </c>
      <c r="F373" s="125">
        <v>2574816</v>
      </c>
      <c r="G373" s="125">
        <v>3757212</v>
      </c>
    </row>
    <row r="374" spans="1:7" x14ac:dyDescent="0.45">
      <c r="A374" s="9" t="s">
        <v>635</v>
      </c>
      <c r="B374" s="125">
        <v>6356361</v>
      </c>
      <c r="C374" s="125">
        <v>4232884</v>
      </c>
      <c r="D374" s="125">
        <v>3304591</v>
      </c>
      <c r="E374" s="125">
        <v>2403649</v>
      </c>
      <c r="F374" s="125">
        <v>2074448</v>
      </c>
      <c r="G374" s="125">
        <v>2862558</v>
      </c>
    </row>
    <row r="375" spans="1:7" x14ac:dyDescent="0.45">
      <c r="A375" s="9" t="s">
        <v>636</v>
      </c>
      <c r="B375" s="125">
        <v>267106</v>
      </c>
      <c r="C375" s="125">
        <v>299048</v>
      </c>
      <c r="D375" s="125">
        <v>514264</v>
      </c>
      <c r="E375" s="125">
        <v>513187</v>
      </c>
      <c r="F375" s="125">
        <v>500368</v>
      </c>
      <c r="G375" s="125">
        <v>894654</v>
      </c>
    </row>
    <row r="376" spans="1:7" x14ac:dyDescent="0.45">
      <c r="A376" s="9" t="s">
        <v>257</v>
      </c>
      <c r="B376" s="125">
        <v>4195973</v>
      </c>
      <c r="C376" s="125">
        <v>3079671</v>
      </c>
      <c r="D376" s="125" t="s">
        <v>34</v>
      </c>
      <c r="E376" s="125" t="s">
        <v>34</v>
      </c>
      <c r="F376" s="125" t="s">
        <v>34</v>
      </c>
      <c r="G376" s="125" t="s">
        <v>34</v>
      </c>
    </row>
    <row r="377" spans="1:7" x14ac:dyDescent="0.45">
      <c r="A377" s="9" t="s">
        <v>258</v>
      </c>
      <c r="B377" s="125">
        <v>3445326</v>
      </c>
      <c r="C377" s="125">
        <v>1913119</v>
      </c>
      <c r="D377" s="125" t="s">
        <v>34</v>
      </c>
      <c r="E377" s="125" t="s">
        <v>34</v>
      </c>
      <c r="F377" s="125" t="s">
        <v>34</v>
      </c>
      <c r="G377" s="125" t="s">
        <v>34</v>
      </c>
    </row>
    <row r="378" spans="1:7" x14ac:dyDescent="0.45">
      <c r="A378" s="9" t="s">
        <v>259</v>
      </c>
      <c r="B378" s="125">
        <v>750647</v>
      </c>
      <c r="C378" s="125">
        <v>1166552</v>
      </c>
      <c r="D378" s="125">
        <v>882771</v>
      </c>
      <c r="E378" s="125">
        <v>943770</v>
      </c>
      <c r="F378" s="125">
        <v>688564</v>
      </c>
      <c r="G378" s="125">
        <v>974267</v>
      </c>
    </row>
    <row r="379" spans="1:7" x14ac:dyDescent="0.45">
      <c r="A379" s="9" t="s">
        <v>260</v>
      </c>
      <c r="B379" s="125" t="s">
        <v>34</v>
      </c>
      <c r="C379" s="125" t="s">
        <v>34</v>
      </c>
      <c r="D379" s="125">
        <v>12609799</v>
      </c>
      <c r="E379" s="125">
        <v>11434806</v>
      </c>
      <c r="F379" s="125">
        <v>15432143</v>
      </c>
      <c r="G379" s="125">
        <v>13340607</v>
      </c>
    </row>
    <row r="380" spans="1:7" x14ac:dyDescent="0.45">
      <c r="A380" s="9" t="s">
        <v>261</v>
      </c>
      <c r="B380" s="125" t="s">
        <v>34</v>
      </c>
      <c r="C380" s="125" t="s">
        <v>34</v>
      </c>
      <c r="D380" s="125">
        <v>11941395</v>
      </c>
      <c r="E380" s="125">
        <v>10753588</v>
      </c>
      <c r="F380" s="125">
        <v>14725489</v>
      </c>
      <c r="G380" s="125">
        <v>12702586</v>
      </c>
    </row>
    <row r="381" spans="1:7" x14ac:dyDescent="0.45">
      <c r="A381" s="9" t="s">
        <v>262</v>
      </c>
      <c r="B381" s="125">
        <v>593192</v>
      </c>
      <c r="C381" s="125">
        <v>570492</v>
      </c>
      <c r="D381" s="125">
        <v>668404</v>
      </c>
      <c r="E381" s="125">
        <v>681218</v>
      </c>
      <c r="F381" s="125">
        <v>706654</v>
      </c>
      <c r="G381" s="125">
        <v>638021</v>
      </c>
    </row>
    <row r="382" spans="1:7" x14ac:dyDescent="0.45">
      <c r="A382" s="9" t="s">
        <v>637</v>
      </c>
      <c r="B382" s="125" t="s">
        <v>34</v>
      </c>
      <c r="C382" s="125" t="s">
        <v>34</v>
      </c>
      <c r="D382" s="125" t="s">
        <v>34</v>
      </c>
      <c r="E382" s="125" t="s">
        <v>34</v>
      </c>
      <c r="F382" s="125" t="s">
        <v>34</v>
      </c>
      <c r="G382" s="125" t="s">
        <v>34</v>
      </c>
    </row>
    <row r="383" spans="1:7" x14ac:dyDescent="0.45">
      <c r="A383" s="9" t="s">
        <v>638</v>
      </c>
      <c r="B383" s="125" t="s">
        <v>34</v>
      </c>
      <c r="C383" s="125" t="s">
        <v>34</v>
      </c>
      <c r="D383" s="125" t="s">
        <v>34</v>
      </c>
      <c r="E383" s="125" t="s">
        <v>34</v>
      </c>
      <c r="F383" s="125" t="s">
        <v>34</v>
      </c>
      <c r="G383" s="125" t="s">
        <v>34</v>
      </c>
    </row>
    <row r="384" spans="1:7" x14ac:dyDescent="0.45">
      <c r="A384" s="9" t="s">
        <v>263</v>
      </c>
      <c r="B384" s="125">
        <v>8624861</v>
      </c>
      <c r="C384" s="125">
        <v>8602221</v>
      </c>
      <c r="D384" s="125">
        <v>10624482</v>
      </c>
      <c r="E384" s="125">
        <v>12129495</v>
      </c>
      <c r="F384" s="125">
        <v>12312453</v>
      </c>
      <c r="G384" s="125">
        <v>17225642</v>
      </c>
    </row>
    <row r="385" spans="1:7" x14ac:dyDescent="0.45">
      <c r="A385" s="9" t="s">
        <v>264</v>
      </c>
      <c r="B385" s="125">
        <v>7594868</v>
      </c>
      <c r="C385" s="125">
        <v>7341831</v>
      </c>
      <c r="D385" s="125">
        <v>9149353</v>
      </c>
      <c r="E385" s="125">
        <v>10381080</v>
      </c>
      <c r="F385" s="125">
        <v>10327003</v>
      </c>
      <c r="G385" s="125">
        <v>14354908</v>
      </c>
    </row>
    <row r="386" spans="1:7" x14ac:dyDescent="0.45">
      <c r="A386" s="9" t="s">
        <v>265</v>
      </c>
      <c r="B386" s="125">
        <v>818300</v>
      </c>
      <c r="C386" s="125">
        <v>1004318</v>
      </c>
      <c r="D386" s="125">
        <v>1195239</v>
      </c>
      <c r="E386" s="125">
        <v>1480004</v>
      </c>
      <c r="F386" s="125">
        <v>1521323</v>
      </c>
      <c r="G386" s="125">
        <v>2151869</v>
      </c>
    </row>
    <row r="387" spans="1:7" x14ac:dyDescent="0.45">
      <c r="A387" s="9" t="s">
        <v>266</v>
      </c>
      <c r="B387" s="125">
        <v>211693</v>
      </c>
      <c r="C387" s="125">
        <v>256072</v>
      </c>
      <c r="D387" s="125">
        <v>279890</v>
      </c>
      <c r="E387" s="125">
        <v>268411</v>
      </c>
      <c r="F387" s="125">
        <v>464127</v>
      </c>
      <c r="G387" s="125">
        <v>718865</v>
      </c>
    </row>
    <row r="388" spans="1:7" x14ac:dyDescent="0.45">
      <c r="A388" s="9" t="s">
        <v>639</v>
      </c>
      <c r="B388" s="125">
        <v>16198044</v>
      </c>
      <c r="C388" s="125">
        <v>16991470</v>
      </c>
      <c r="D388" s="125">
        <v>18916175</v>
      </c>
      <c r="E388" s="125">
        <v>20006368</v>
      </c>
      <c r="F388" s="125">
        <v>21932159</v>
      </c>
      <c r="G388" s="125">
        <v>29238183</v>
      </c>
    </row>
    <row r="389" spans="1:7" x14ac:dyDescent="0.45">
      <c r="A389" s="9" t="s">
        <v>640</v>
      </c>
      <c r="B389" s="125">
        <v>16198044</v>
      </c>
      <c r="C389" s="125">
        <v>16991470</v>
      </c>
      <c r="D389" s="125">
        <v>18916175</v>
      </c>
      <c r="E389" s="125">
        <v>20006368</v>
      </c>
      <c r="F389" s="125">
        <v>21932159</v>
      </c>
      <c r="G389" s="125">
        <v>29238183</v>
      </c>
    </row>
    <row r="390" spans="1:7" x14ac:dyDescent="0.45">
      <c r="A390" s="9" t="s">
        <v>641</v>
      </c>
      <c r="B390" s="125">
        <v>9358328</v>
      </c>
      <c r="C390" s="125">
        <v>9473747</v>
      </c>
      <c r="D390" s="125">
        <v>10405822</v>
      </c>
      <c r="E390" s="125">
        <v>11148307</v>
      </c>
      <c r="F390" s="125">
        <v>12123537</v>
      </c>
      <c r="G390" s="125">
        <v>17443979</v>
      </c>
    </row>
    <row r="391" spans="1:7" x14ac:dyDescent="0.45">
      <c r="A391" s="9" t="s">
        <v>642</v>
      </c>
      <c r="B391" s="125">
        <v>2749935</v>
      </c>
      <c r="C391" s="125">
        <v>3066144</v>
      </c>
      <c r="D391" s="125">
        <v>3284177</v>
      </c>
      <c r="E391" s="125">
        <v>3232069</v>
      </c>
      <c r="F391" s="125">
        <v>3592941</v>
      </c>
      <c r="G391" s="125">
        <v>4342184</v>
      </c>
    </row>
    <row r="392" spans="1:7" x14ac:dyDescent="0.45">
      <c r="A392" s="9" t="s">
        <v>643</v>
      </c>
      <c r="B392" s="125">
        <v>480141</v>
      </c>
      <c r="C392" s="125">
        <v>526520</v>
      </c>
      <c r="D392" s="125">
        <v>564813</v>
      </c>
      <c r="E392" s="125">
        <v>635045</v>
      </c>
      <c r="F392" s="125">
        <v>694423</v>
      </c>
      <c r="G392" s="125">
        <v>946778</v>
      </c>
    </row>
    <row r="393" spans="1:7" x14ac:dyDescent="0.45">
      <c r="A393" s="9" t="s">
        <v>644</v>
      </c>
      <c r="B393" s="125">
        <v>3609640</v>
      </c>
      <c r="C393" s="125">
        <v>3925059</v>
      </c>
      <c r="D393" s="125">
        <v>4661363</v>
      </c>
      <c r="E393" s="125">
        <v>4990947</v>
      </c>
      <c r="F393" s="125">
        <v>5521258</v>
      </c>
      <c r="G393" s="125">
        <v>6505242</v>
      </c>
    </row>
    <row r="394" spans="1:7" x14ac:dyDescent="0.45">
      <c r="A394" s="9" t="s">
        <v>645</v>
      </c>
      <c r="B394" s="125">
        <v>11465925</v>
      </c>
      <c r="C394" s="125">
        <v>12103238</v>
      </c>
      <c r="D394" s="125">
        <v>13557545</v>
      </c>
      <c r="E394" s="125">
        <v>13794097</v>
      </c>
      <c r="F394" s="125">
        <v>15400416</v>
      </c>
      <c r="G394" s="125">
        <v>20435707</v>
      </c>
    </row>
    <row r="395" spans="1:7" x14ac:dyDescent="0.45">
      <c r="A395" s="9" t="s">
        <v>646</v>
      </c>
      <c r="B395" s="125">
        <v>1014119</v>
      </c>
      <c r="C395" s="125">
        <v>1025536</v>
      </c>
      <c r="D395" s="125">
        <v>976186</v>
      </c>
      <c r="E395" s="125">
        <v>1029337</v>
      </c>
      <c r="F395" s="125">
        <v>811877</v>
      </c>
      <c r="G395" s="125">
        <v>1297603</v>
      </c>
    </row>
    <row r="396" spans="1:7" x14ac:dyDescent="0.45">
      <c r="A396" s="9" t="s">
        <v>647</v>
      </c>
      <c r="B396" s="125">
        <v>945242</v>
      </c>
      <c r="C396" s="125">
        <v>953013</v>
      </c>
      <c r="D396" s="125">
        <v>887345</v>
      </c>
      <c r="E396" s="125">
        <v>945546</v>
      </c>
      <c r="F396" s="125">
        <v>743729</v>
      </c>
      <c r="G396" s="125">
        <v>1219558</v>
      </c>
    </row>
    <row r="397" spans="1:7" x14ac:dyDescent="0.45">
      <c r="A397" s="9" t="s">
        <v>648</v>
      </c>
      <c r="B397" s="125">
        <v>68877</v>
      </c>
      <c r="C397" s="125">
        <v>72523</v>
      </c>
      <c r="D397" s="125">
        <v>88841</v>
      </c>
      <c r="E397" s="125">
        <v>83791</v>
      </c>
      <c r="F397" s="125">
        <v>68148</v>
      </c>
      <c r="G397" s="125">
        <v>78045</v>
      </c>
    </row>
    <row r="398" spans="1:7" x14ac:dyDescent="0.45">
      <c r="A398" s="9" t="s">
        <v>649</v>
      </c>
      <c r="B398" s="125">
        <v>43745</v>
      </c>
      <c r="C398" s="125">
        <v>58610</v>
      </c>
      <c r="D398" s="125">
        <v>76010</v>
      </c>
      <c r="E398" s="125">
        <v>92638</v>
      </c>
      <c r="F398" s="125">
        <v>121349</v>
      </c>
      <c r="G398" s="125">
        <v>106245</v>
      </c>
    </row>
    <row r="399" spans="1:7" x14ac:dyDescent="0.45">
      <c r="A399" s="9" t="s">
        <v>650</v>
      </c>
      <c r="B399" s="125">
        <v>43745</v>
      </c>
      <c r="C399" s="125">
        <v>58610</v>
      </c>
      <c r="D399" s="125">
        <v>76010</v>
      </c>
      <c r="E399" s="125">
        <v>92638</v>
      </c>
      <c r="F399" s="125">
        <v>121349</v>
      </c>
      <c r="G399" s="125">
        <v>106245</v>
      </c>
    </row>
    <row r="400" spans="1:7" x14ac:dyDescent="0.45">
      <c r="A400" s="9" t="s">
        <v>651</v>
      </c>
      <c r="B400" s="125">
        <v>382992</v>
      </c>
      <c r="C400" s="125">
        <v>357567</v>
      </c>
      <c r="D400" s="125">
        <v>286140</v>
      </c>
      <c r="E400" s="125">
        <v>284350</v>
      </c>
      <c r="F400" s="125">
        <v>457594</v>
      </c>
      <c r="G400" s="125">
        <v>642858</v>
      </c>
    </row>
    <row r="401" spans="1:7" x14ac:dyDescent="0.45">
      <c r="A401" s="9" t="s">
        <v>652</v>
      </c>
      <c r="B401" s="125">
        <v>382992</v>
      </c>
      <c r="C401" s="125">
        <v>357567</v>
      </c>
      <c r="D401" s="125">
        <v>286140</v>
      </c>
      <c r="E401" s="125">
        <v>284350</v>
      </c>
      <c r="F401" s="125">
        <v>457594</v>
      </c>
      <c r="G401" s="125">
        <v>642858</v>
      </c>
    </row>
    <row r="402" spans="1:7" x14ac:dyDescent="0.45">
      <c r="A402" s="9" t="s">
        <v>653</v>
      </c>
      <c r="B402" s="125">
        <v>963881</v>
      </c>
      <c r="C402" s="125">
        <v>1005347</v>
      </c>
      <c r="D402" s="125">
        <v>1043256</v>
      </c>
      <c r="E402" s="125">
        <v>1115036</v>
      </c>
      <c r="F402" s="125">
        <v>1223922</v>
      </c>
      <c r="G402" s="125">
        <v>1677241</v>
      </c>
    </row>
    <row r="403" spans="1:7" x14ac:dyDescent="0.45">
      <c r="A403" s="9" t="s">
        <v>654</v>
      </c>
      <c r="B403" s="125">
        <v>963881</v>
      </c>
      <c r="C403" s="125">
        <v>1005347</v>
      </c>
      <c r="D403" s="125">
        <v>1043256</v>
      </c>
      <c r="E403" s="125">
        <v>1115036</v>
      </c>
      <c r="F403" s="125">
        <v>1223922</v>
      </c>
      <c r="G403" s="125">
        <v>1677241</v>
      </c>
    </row>
    <row r="404" spans="1:7" x14ac:dyDescent="0.45">
      <c r="A404" s="9" t="s">
        <v>655</v>
      </c>
      <c r="B404" s="125">
        <v>4772024</v>
      </c>
      <c r="C404" s="125">
        <v>4918552</v>
      </c>
      <c r="D404" s="125">
        <v>6069882</v>
      </c>
      <c r="E404" s="125">
        <v>6056522</v>
      </c>
      <c r="F404" s="125">
        <v>7073449</v>
      </c>
      <c r="G404" s="125">
        <v>9004627</v>
      </c>
    </row>
    <row r="405" spans="1:7" x14ac:dyDescent="0.45">
      <c r="A405" s="9" t="s">
        <v>656</v>
      </c>
      <c r="B405" s="125">
        <v>4772024</v>
      </c>
      <c r="C405" s="125">
        <v>4918552</v>
      </c>
      <c r="D405" s="125">
        <v>6069882</v>
      </c>
      <c r="E405" s="125">
        <v>6056522</v>
      </c>
      <c r="F405" s="125">
        <v>7073449</v>
      </c>
      <c r="G405" s="125">
        <v>9004627</v>
      </c>
    </row>
    <row r="406" spans="1:7" x14ac:dyDescent="0.45">
      <c r="A406" s="9" t="s">
        <v>657</v>
      </c>
      <c r="B406" s="125">
        <v>4289164</v>
      </c>
      <c r="C406" s="125">
        <v>4737626</v>
      </c>
      <c r="D406" s="125">
        <v>5106071</v>
      </c>
      <c r="E406" s="125">
        <v>5216214</v>
      </c>
      <c r="F406" s="125">
        <v>5712225</v>
      </c>
      <c r="G406" s="125">
        <v>7707133</v>
      </c>
    </row>
    <row r="407" spans="1:7" x14ac:dyDescent="0.45">
      <c r="A407" s="9" t="s">
        <v>658</v>
      </c>
      <c r="B407" s="125">
        <v>931234</v>
      </c>
      <c r="C407" s="125">
        <v>953094</v>
      </c>
      <c r="D407" s="125">
        <v>1180774</v>
      </c>
      <c r="E407" s="125">
        <v>1273485</v>
      </c>
      <c r="F407" s="125">
        <v>1489907</v>
      </c>
      <c r="G407" s="125">
        <v>1871459</v>
      </c>
    </row>
    <row r="408" spans="1:7" x14ac:dyDescent="0.45">
      <c r="A408" s="9" t="s">
        <v>659</v>
      </c>
      <c r="B408" s="125">
        <v>905473</v>
      </c>
      <c r="C408" s="125">
        <v>1009866</v>
      </c>
      <c r="D408" s="125">
        <v>1056780</v>
      </c>
      <c r="E408" s="125">
        <v>1012641</v>
      </c>
      <c r="F408" s="125">
        <v>1303762</v>
      </c>
      <c r="G408" s="125">
        <v>1937030</v>
      </c>
    </row>
    <row r="409" spans="1:7" x14ac:dyDescent="0.45">
      <c r="A409" s="9" t="s">
        <v>660</v>
      </c>
      <c r="B409" s="125">
        <v>2452457</v>
      </c>
      <c r="C409" s="125">
        <v>2774666</v>
      </c>
      <c r="D409" s="125">
        <v>2868517</v>
      </c>
      <c r="E409" s="125">
        <v>2930088</v>
      </c>
      <c r="F409" s="125">
        <v>2918556</v>
      </c>
      <c r="G409" s="125">
        <v>3898644</v>
      </c>
    </row>
    <row r="410" spans="1:7" x14ac:dyDescent="0.45">
      <c r="A410" s="9" t="s">
        <v>661</v>
      </c>
      <c r="B410" s="125">
        <v>13827653</v>
      </c>
      <c r="C410" s="125">
        <v>15337842</v>
      </c>
      <c r="D410" s="125">
        <v>15639208</v>
      </c>
      <c r="E410" s="125">
        <v>13173383</v>
      </c>
      <c r="F410" s="125">
        <v>16729393</v>
      </c>
      <c r="G410" s="125">
        <v>16887100</v>
      </c>
    </row>
    <row r="411" spans="1:7" x14ac:dyDescent="0.45">
      <c r="A411" s="9" t="s">
        <v>662</v>
      </c>
      <c r="B411" s="125">
        <v>12784831</v>
      </c>
      <c r="C411" s="125">
        <v>14576012</v>
      </c>
      <c r="D411" s="125">
        <v>15293978</v>
      </c>
      <c r="E411" s="125">
        <v>12697902</v>
      </c>
      <c r="F411" s="125">
        <v>16134670</v>
      </c>
      <c r="G411" s="125">
        <v>16001214</v>
      </c>
    </row>
    <row r="412" spans="1:7" x14ac:dyDescent="0.45">
      <c r="A412" s="9" t="s">
        <v>663</v>
      </c>
      <c r="B412" s="125">
        <v>138091</v>
      </c>
      <c r="C412" s="125">
        <v>166821</v>
      </c>
      <c r="D412" s="125">
        <v>102710</v>
      </c>
      <c r="E412" s="125">
        <v>151785</v>
      </c>
      <c r="F412" s="125">
        <v>152410</v>
      </c>
      <c r="G412" s="125">
        <v>239500</v>
      </c>
    </row>
    <row r="413" spans="1:7" x14ac:dyDescent="0.45">
      <c r="A413" s="9" t="s">
        <v>664</v>
      </c>
      <c r="B413" s="125">
        <v>153604</v>
      </c>
      <c r="C413" s="125">
        <v>175739</v>
      </c>
      <c r="D413" s="125">
        <v>126208</v>
      </c>
      <c r="E413" s="125">
        <v>146614</v>
      </c>
      <c r="F413" s="125">
        <v>124912</v>
      </c>
      <c r="G413" s="125">
        <v>260363</v>
      </c>
    </row>
    <row r="414" spans="1:7" x14ac:dyDescent="0.45">
      <c r="A414" s="9" t="s">
        <v>665</v>
      </c>
      <c r="B414" s="125">
        <v>1135755</v>
      </c>
      <c r="C414" s="125">
        <v>2873244</v>
      </c>
      <c r="D414" s="125">
        <v>1334616</v>
      </c>
      <c r="E414" s="125">
        <v>1262611</v>
      </c>
      <c r="F414" s="125">
        <v>4678456</v>
      </c>
      <c r="G414" s="125">
        <v>6424214</v>
      </c>
    </row>
    <row r="415" spans="1:7" x14ac:dyDescent="0.45">
      <c r="A415" s="9" t="s">
        <v>666</v>
      </c>
      <c r="B415" s="125">
        <v>3522100</v>
      </c>
      <c r="C415" s="125">
        <v>2658381</v>
      </c>
      <c r="D415" s="125">
        <v>3833393</v>
      </c>
      <c r="E415" s="125">
        <v>4035435</v>
      </c>
      <c r="F415" s="125">
        <v>5399556</v>
      </c>
      <c r="G415" s="125">
        <v>5237434</v>
      </c>
    </row>
    <row r="416" spans="1:7" x14ac:dyDescent="0.45">
      <c r="A416" s="9" t="s">
        <v>667</v>
      </c>
      <c r="B416" s="125">
        <v>386600</v>
      </c>
      <c r="C416" s="125">
        <v>230674</v>
      </c>
      <c r="D416" s="125">
        <v>325553</v>
      </c>
      <c r="E416" s="125">
        <v>348939</v>
      </c>
      <c r="F416" s="125">
        <v>271285</v>
      </c>
      <c r="G416" s="125">
        <v>306920</v>
      </c>
    </row>
    <row r="417" spans="1:7" x14ac:dyDescent="0.45">
      <c r="A417" s="9" t="s">
        <v>668</v>
      </c>
      <c r="B417" s="125">
        <v>6957968</v>
      </c>
      <c r="C417" s="125">
        <v>7902077</v>
      </c>
      <c r="D417" s="125">
        <v>8614531</v>
      </c>
      <c r="E417" s="125">
        <v>6252302</v>
      </c>
      <c r="F417" s="125">
        <v>4863534</v>
      </c>
      <c r="G417" s="125">
        <v>2524391</v>
      </c>
    </row>
    <row r="418" spans="1:7" x14ac:dyDescent="0.45">
      <c r="A418" s="9" t="s">
        <v>669</v>
      </c>
      <c r="B418" s="125">
        <v>443932</v>
      </c>
      <c r="C418" s="125">
        <v>500339</v>
      </c>
      <c r="D418" s="125">
        <v>898254</v>
      </c>
      <c r="E418" s="125">
        <v>419045</v>
      </c>
      <c r="F418" s="125">
        <v>537702</v>
      </c>
      <c r="G418" s="125">
        <v>870292</v>
      </c>
    </row>
    <row r="419" spans="1:7" x14ac:dyDescent="0.45">
      <c r="A419" s="9" t="s">
        <v>670</v>
      </c>
      <c r="B419" s="125">
        <v>46781</v>
      </c>
      <c r="C419" s="125">
        <v>68737</v>
      </c>
      <c r="D419" s="125">
        <v>58713</v>
      </c>
      <c r="E419" s="125">
        <v>81171</v>
      </c>
      <c r="F419" s="125">
        <v>106815</v>
      </c>
      <c r="G419" s="125">
        <v>138100</v>
      </c>
    </row>
    <row r="420" spans="1:7" x14ac:dyDescent="0.45">
      <c r="A420" s="9" t="s">
        <v>671</v>
      </c>
      <c r="B420" s="125">
        <v>1042822</v>
      </c>
      <c r="C420" s="125">
        <v>761830</v>
      </c>
      <c r="D420" s="125">
        <v>345230</v>
      </c>
      <c r="E420" s="125">
        <v>475481</v>
      </c>
      <c r="F420" s="125">
        <v>594723</v>
      </c>
      <c r="G420" s="125">
        <v>885886</v>
      </c>
    </row>
    <row r="421" spans="1:7" x14ac:dyDescent="0.45">
      <c r="A421" s="9" t="s">
        <v>672</v>
      </c>
      <c r="B421" s="125">
        <v>921731</v>
      </c>
      <c r="C421" s="125">
        <v>646458</v>
      </c>
      <c r="D421" s="125">
        <v>274903</v>
      </c>
      <c r="E421" s="125">
        <v>402274</v>
      </c>
      <c r="F421" s="125">
        <v>521248</v>
      </c>
      <c r="G421" s="125">
        <v>785205</v>
      </c>
    </row>
    <row r="422" spans="1:7" x14ac:dyDescent="0.45">
      <c r="A422" s="9" t="s">
        <v>673</v>
      </c>
      <c r="B422" s="125">
        <v>121091</v>
      </c>
      <c r="C422" s="125">
        <v>115372</v>
      </c>
      <c r="D422" s="125">
        <v>70327</v>
      </c>
      <c r="E422" s="125">
        <v>73207</v>
      </c>
      <c r="F422" s="125">
        <v>73475</v>
      </c>
      <c r="G422" s="125">
        <v>100681</v>
      </c>
    </row>
    <row r="423" spans="1:7" x14ac:dyDescent="0.45">
      <c r="A423" s="436" t="s">
        <v>674</v>
      </c>
      <c r="B423" s="436"/>
      <c r="C423" s="436"/>
      <c r="D423" s="436"/>
      <c r="E423" s="436"/>
      <c r="F423" s="436"/>
      <c r="G423" s="436"/>
    </row>
  </sheetData>
  <mergeCells count="6">
    <mergeCell ref="A423:G423"/>
    <mergeCell ref="A1:G1"/>
    <mergeCell ref="A2:G2"/>
    <mergeCell ref="A3:G3"/>
    <mergeCell ref="A4:A5"/>
    <mergeCell ref="B4:G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F9C4-770C-48A6-8E69-DD1ACCFD24FD}">
  <sheetPr>
    <tabColor theme="4" tint="-0.499984740745262"/>
  </sheetPr>
  <dimension ref="A1:I423"/>
  <sheetViews>
    <sheetView workbookViewId="0">
      <selection sqref="A1:G1"/>
    </sheetView>
  </sheetViews>
  <sheetFormatPr defaultColWidth="8.86328125" defaultRowHeight="14.25" x14ac:dyDescent="0.45"/>
  <cols>
    <col min="1" max="1" width="34.6640625" customWidth="1"/>
    <col min="2" max="6" width="14.33203125" customWidth="1"/>
    <col min="7" max="7" width="23.1328125" customWidth="1"/>
    <col min="8" max="9" width="13.6640625" bestFit="1" customWidth="1"/>
  </cols>
  <sheetData>
    <row r="1" spans="1:9" x14ac:dyDescent="0.45">
      <c r="A1" s="437" t="s">
        <v>300</v>
      </c>
      <c r="B1" s="437"/>
      <c r="C1" s="437"/>
      <c r="D1" s="437"/>
      <c r="E1" s="437"/>
      <c r="F1" s="437"/>
      <c r="G1" s="437"/>
    </row>
    <row r="2" spans="1:9" x14ac:dyDescent="0.45">
      <c r="A2" s="436" t="s">
        <v>692</v>
      </c>
      <c r="B2" s="436"/>
      <c r="C2" s="436"/>
      <c r="D2" s="436"/>
      <c r="E2" s="436"/>
      <c r="F2" s="436"/>
      <c r="G2" s="436"/>
    </row>
    <row r="3" spans="1:9" x14ac:dyDescent="0.45">
      <c r="A3" s="436" t="s">
        <v>20</v>
      </c>
      <c r="B3" s="436"/>
      <c r="C3" s="436"/>
      <c r="D3" s="436"/>
      <c r="E3" s="436"/>
      <c r="F3" s="436"/>
      <c r="G3" s="436"/>
    </row>
    <row r="4" spans="1:9" x14ac:dyDescent="0.45">
      <c r="A4" s="436" t="s">
        <v>302</v>
      </c>
      <c r="B4" s="436" t="s">
        <v>23</v>
      </c>
      <c r="C4" s="436"/>
      <c r="D4" s="436"/>
      <c r="E4" s="436"/>
      <c r="F4" s="436"/>
      <c r="G4" s="436"/>
    </row>
    <row r="5" spans="1:9" x14ac:dyDescent="0.45">
      <c r="A5" s="436"/>
      <c r="B5" s="8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</row>
    <row r="6" spans="1:9" x14ac:dyDescent="0.45">
      <c r="A6" s="9" t="s">
        <v>303</v>
      </c>
      <c r="B6" s="10">
        <v>694894866</v>
      </c>
      <c r="C6" s="10">
        <v>726835177</v>
      </c>
      <c r="D6" s="10">
        <v>825395442</v>
      </c>
      <c r="E6" s="10">
        <v>885915909</v>
      </c>
      <c r="F6" s="10">
        <v>1062740243</v>
      </c>
      <c r="G6" s="125">
        <v>1600538353</v>
      </c>
      <c r="H6" s="16"/>
      <c r="I6" s="12"/>
    </row>
    <row r="7" spans="1:9" x14ac:dyDescent="0.45">
      <c r="A7" s="9" t="s">
        <v>304</v>
      </c>
      <c r="B7" s="10">
        <v>52921477</v>
      </c>
      <c r="C7" s="10">
        <v>69638103</v>
      </c>
      <c r="D7" s="10">
        <v>85357197</v>
      </c>
      <c r="E7" s="10">
        <v>86760284</v>
      </c>
      <c r="F7" s="10">
        <v>133065658</v>
      </c>
      <c r="G7" s="10">
        <v>257397356</v>
      </c>
    </row>
    <row r="8" spans="1:9" x14ac:dyDescent="0.45">
      <c r="A8" s="9" t="s">
        <v>305</v>
      </c>
      <c r="B8" s="10">
        <v>474180</v>
      </c>
      <c r="C8" s="10">
        <v>395177</v>
      </c>
      <c r="D8" s="10">
        <v>396241</v>
      </c>
      <c r="E8" s="10">
        <v>335492</v>
      </c>
      <c r="F8" s="10">
        <v>442302</v>
      </c>
      <c r="G8" s="10">
        <v>549734</v>
      </c>
    </row>
    <row r="9" spans="1:9" x14ac:dyDescent="0.45">
      <c r="A9" s="9" t="s">
        <v>306</v>
      </c>
      <c r="B9" s="10">
        <v>474180</v>
      </c>
      <c r="C9" s="10">
        <v>395177</v>
      </c>
      <c r="D9" s="10">
        <v>396241</v>
      </c>
      <c r="E9" s="10">
        <v>335492</v>
      </c>
      <c r="F9" s="10">
        <v>442302</v>
      </c>
      <c r="G9" s="10">
        <v>549734</v>
      </c>
    </row>
    <row r="10" spans="1:9" x14ac:dyDescent="0.45">
      <c r="A10" s="9" t="s">
        <v>307</v>
      </c>
      <c r="B10" s="10">
        <v>474180</v>
      </c>
      <c r="C10" s="10">
        <v>395177</v>
      </c>
      <c r="D10" s="10">
        <v>396241</v>
      </c>
      <c r="E10" s="10">
        <v>335492</v>
      </c>
      <c r="F10" s="10">
        <v>442302</v>
      </c>
      <c r="G10" s="10">
        <v>549734</v>
      </c>
    </row>
    <row r="11" spans="1:9" x14ac:dyDescent="0.45">
      <c r="A11" s="9" t="s">
        <v>308</v>
      </c>
      <c r="B11" s="10">
        <v>8186890</v>
      </c>
      <c r="C11" s="10">
        <v>13731751</v>
      </c>
      <c r="D11" s="10">
        <v>17233192</v>
      </c>
      <c r="E11" s="10">
        <v>17800614</v>
      </c>
      <c r="F11" s="10">
        <v>12141301</v>
      </c>
      <c r="G11" s="10">
        <v>46653545</v>
      </c>
    </row>
    <row r="12" spans="1:9" x14ac:dyDescent="0.45">
      <c r="A12" s="9" t="s">
        <v>309</v>
      </c>
      <c r="B12" s="10">
        <v>8186890</v>
      </c>
      <c r="C12" s="10">
        <v>13731751</v>
      </c>
      <c r="D12" s="10">
        <v>17233192</v>
      </c>
      <c r="E12" s="10">
        <v>17800614</v>
      </c>
      <c r="F12" s="10">
        <v>12141301</v>
      </c>
      <c r="G12" s="10">
        <v>46653545</v>
      </c>
    </row>
    <row r="13" spans="1:9" x14ac:dyDescent="0.45">
      <c r="A13" s="9" t="s">
        <v>310</v>
      </c>
      <c r="B13" s="10">
        <v>8186890</v>
      </c>
      <c r="C13" s="10">
        <v>13731751</v>
      </c>
      <c r="D13" s="10">
        <v>17233192</v>
      </c>
      <c r="E13" s="10">
        <v>17800614</v>
      </c>
      <c r="F13" s="10">
        <v>12141301</v>
      </c>
      <c r="G13" s="10">
        <v>46653545</v>
      </c>
    </row>
    <row r="14" spans="1:9" x14ac:dyDescent="0.45">
      <c r="A14" s="9" t="s">
        <v>311</v>
      </c>
      <c r="B14" s="10">
        <v>34450858</v>
      </c>
      <c r="C14" s="10">
        <v>46190673</v>
      </c>
      <c r="D14" s="10">
        <v>57642034</v>
      </c>
      <c r="E14" s="10">
        <v>58915780</v>
      </c>
      <c r="F14" s="10">
        <v>109792213</v>
      </c>
      <c r="G14" s="10">
        <v>196906179</v>
      </c>
    </row>
    <row r="15" spans="1:9" x14ac:dyDescent="0.45">
      <c r="A15" s="9" t="s">
        <v>312</v>
      </c>
      <c r="B15" s="10">
        <v>30319666</v>
      </c>
      <c r="C15" s="10">
        <v>40718999</v>
      </c>
      <c r="D15" s="10">
        <v>50870951</v>
      </c>
      <c r="E15" s="10">
        <v>51836709</v>
      </c>
      <c r="F15" s="10">
        <v>100051629</v>
      </c>
      <c r="G15" s="10">
        <v>184576142</v>
      </c>
    </row>
    <row r="16" spans="1:9" x14ac:dyDescent="0.45">
      <c r="A16" s="9" t="s">
        <v>313</v>
      </c>
      <c r="B16" s="10">
        <v>30319666</v>
      </c>
      <c r="C16" s="10">
        <v>40718999</v>
      </c>
      <c r="D16" s="10">
        <v>50870951</v>
      </c>
      <c r="E16" s="10">
        <v>51836709</v>
      </c>
      <c r="F16" s="10">
        <v>100051629</v>
      </c>
      <c r="G16" s="10">
        <v>184576142</v>
      </c>
    </row>
    <row r="17" spans="1:7" x14ac:dyDescent="0.45">
      <c r="A17" s="9" t="s">
        <v>314</v>
      </c>
      <c r="B17" s="10">
        <v>4131192</v>
      </c>
      <c r="C17" s="10">
        <v>5471674</v>
      </c>
      <c r="D17" s="10">
        <v>6771083</v>
      </c>
      <c r="E17" s="10">
        <v>7079071</v>
      </c>
      <c r="F17" s="10">
        <v>9740584</v>
      </c>
      <c r="G17" s="10">
        <v>12330037</v>
      </c>
    </row>
    <row r="18" spans="1:7" x14ac:dyDescent="0.45">
      <c r="A18" s="9" t="s">
        <v>315</v>
      </c>
      <c r="B18" s="10">
        <v>1551220</v>
      </c>
      <c r="C18" s="10">
        <v>1335931</v>
      </c>
      <c r="D18" s="10">
        <v>1384918</v>
      </c>
      <c r="E18" s="10">
        <v>1693010</v>
      </c>
      <c r="F18" s="10">
        <v>1850693</v>
      </c>
      <c r="G18" s="10">
        <v>2156402</v>
      </c>
    </row>
    <row r="19" spans="1:7" x14ac:dyDescent="0.45">
      <c r="A19" s="9" t="s">
        <v>316</v>
      </c>
      <c r="B19" s="10">
        <v>10692</v>
      </c>
      <c r="C19" s="10">
        <v>52492</v>
      </c>
      <c r="D19" s="10">
        <v>33785</v>
      </c>
      <c r="E19" s="10">
        <v>22566</v>
      </c>
      <c r="F19" s="10">
        <v>14970</v>
      </c>
      <c r="G19" s="10">
        <v>33053</v>
      </c>
    </row>
    <row r="20" spans="1:7" x14ac:dyDescent="0.45">
      <c r="A20" s="9" t="s">
        <v>317</v>
      </c>
      <c r="B20" s="10">
        <v>154306</v>
      </c>
      <c r="C20" s="10">
        <v>214657</v>
      </c>
      <c r="D20" s="10">
        <v>477299</v>
      </c>
      <c r="E20" s="10">
        <v>569973</v>
      </c>
      <c r="F20" s="10">
        <v>442212</v>
      </c>
      <c r="G20" s="10">
        <v>101374</v>
      </c>
    </row>
    <row r="21" spans="1:7" x14ac:dyDescent="0.45">
      <c r="A21" s="9" t="s">
        <v>318</v>
      </c>
      <c r="B21" s="10">
        <v>316471</v>
      </c>
      <c r="C21" s="10">
        <v>165081</v>
      </c>
      <c r="D21" s="10">
        <v>169087</v>
      </c>
      <c r="E21" s="10">
        <v>111428</v>
      </c>
      <c r="F21" s="10">
        <v>382448</v>
      </c>
      <c r="G21" s="10">
        <v>1435338</v>
      </c>
    </row>
    <row r="22" spans="1:7" x14ac:dyDescent="0.45">
      <c r="A22" s="9" t="s">
        <v>319</v>
      </c>
      <c r="B22" s="10" t="s">
        <v>35</v>
      </c>
      <c r="C22" s="10" t="s">
        <v>35</v>
      </c>
      <c r="D22" s="10" t="s">
        <v>35</v>
      </c>
      <c r="E22" s="10" t="s">
        <v>35</v>
      </c>
      <c r="F22" s="10" t="s">
        <v>35</v>
      </c>
      <c r="G22" s="10" t="s">
        <v>35</v>
      </c>
    </row>
    <row r="23" spans="1:7" x14ac:dyDescent="0.45">
      <c r="A23" s="9" t="s">
        <v>320</v>
      </c>
      <c r="B23" s="10">
        <v>2098503</v>
      </c>
      <c r="C23" s="10">
        <v>3703513</v>
      </c>
      <c r="D23" s="10">
        <v>4705994</v>
      </c>
      <c r="E23" s="10">
        <v>4682094</v>
      </c>
      <c r="F23" s="10">
        <v>7050261</v>
      </c>
      <c r="G23" s="10">
        <v>8603870</v>
      </c>
    </row>
    <row r="24" spans="1:7" x14ac:dyDescent="0.45">
      <c r="A24" s="9" t="s">
        <v>321</v>
      </c>
      <c r="B24" s="10">
        <v>4666091</v>
      </c>
      <c r="C24" s="10">
        <v>4317719</v>
      </c>
      <c r="D24" s="10">
        <v>4632527</v>
      </c>
      <c r="E24" s="10">
        <v>4931863</v>
      </c>
      <c r="F24" s="10">
        <v>6023973</v>
      </c>
      <c r="G24" s="10">
        <v>7574952</v>
      </c>
    </row>
    <row r="25" spans="1:7" x14ac:dyDescent="0.45">
      <c r="A25" s="9" t="s">
        <v>322</v>
      </c>
      <c r="B25" s="10">
        <v>3547738</v>
      </c>
      <c r="C25" s="10">
        <v>3049771</v>
      </c>
      <c r="D25" s="10">
        <v>3126505</v>
      </c>
      <c r="E25" s="10">
        <v>3712162</v>
      </c>
      <c r="F25" s="10">
        <v>4829280</v>
      </c>
      <c r="G25" s="10">
        <v>5830517</v>
      </c>
    </row>
    <row r="26" spans="1:7" x14ac:dyDescent="0.45">
      <c r="A26" s="9" t="s">
        <v>323</v>
      </c>
      <c r="B26" s="10">
        <v>3547738</v>
      </c>
      <c r="C26" s="10">
        <v>3049771</v>
      </c>
      <c r="D26" s="10">
        <v>3126505</v>
      </c>
      <c r="E26" s="10">
        <v>3712162</v>
      </c>
      <c r="F26" s="10">
        <v>4829280</v>
      </c>
      <c r="G26" s="10">
        <v>5830517</v>
      </c>
    </row>
    <row r="27" spans="1:7" x14ac:dyDescent="0.45">
      <c r="A27" s="9" t="s">
        <v>324</v>
      </c>
      <c r="B27" s="10">
        <v>1118353</v>
      </c>
      <c r="C27" s="10">
        <v>1267948</v>
      </c>
      <c r="D27" s="10">
        <v>1506022</v>
      </c>
      <c r="E27" s="10">
        <v>1219701</v>
      </c>
      <c r="F27" s="10">
        <v>1194693</v>
      </c>
      <c r="G27" s="10">
        <v>1744435</v>
      </c>
    </row>
    <row r="28" spans="1:7" x14ac:dyDescent="0.45">
      <c r="A28" s="9" t="s">
        <v>325</v>
      </c>
      <c r="B28" s="10">
        <v>57814</v>
      </c>
      <c r="C28" s="10">
        <v>57595</v>
      </c>
      <c r="D28" s="10">
        <v>102472</v>
      </c>
      <c r="E28" s="10">
        <v>164671</v>
      </c>
      <c r="F28" s="10">
        <v>192160</v>
      </c>
      <c r="G28" s="10">
        <v>475112</v>
      </c>
    </row>
    <row r="29" spans="1:7" x14ac:dyDescent="0.45">
      <c r="A29" s="9" t="s">
        <v>326</v>
      </c>
      <c r="B29" s="10">
        <v>279545</v>
      </c>
      <c r="C29" s="10">
        <v>229646</v>
      </c>
      <c r="D29" s="10">
        <v>163765</v>
      </c>
      <c r="E29" s="10">
        <v>207492</v>
      </c>
      <c r="F29" s="10">
        <v>200438</v>
      </c>
      <c r="G29" s="10">
        <v>234772</v>
      </c>
    </row>
    <row r="30" spans="1:7" x14ac:dyDescent="0.45">
      <c r="A30" s="9" t="s">
        <v>327</v>
      </c>
      <c r="B30" s="10">
        <v>81030</v>
      </c>
      <c r="C30" s="10">
        <v>129290</v>
      </c>
      <c r="D30" s="10">
        <v>106794</v>
      </c>
      <c r="E30" s="10">
        <v>62863</v>
      </c>
      <c r="F30" s="10">
        <v>65098</v>
      </c>
      <c r="G30" s="10">
        <v>95278</v>
      </c>
    </row>
    <row r="31" spans="1:7" x14ac:dyDescent="0.45">
      <c r="A31" s="9" t="s">
        <v>328</v>
      </c>
      <c r="B31" s="10">
        <v>699964</v>
      </c>
      <c r="C31" s="10">
        <v>851417</v>
      </c>
      <c r="D31" s="10">
        <v>1132991</v>
      </c>
      <c r="E31" s="10">
        <v>784675</v>
      </c>
      <c r="F31" s="10">
        <v>736997</v>
      </c>
      <c r="G31" s="10">
        <v>939273</v>
      </c>
    </row>
    <row r="32" spans="1:7" x14ac:dyDescent="0.45">
      <c r="A32" s="9" t="s">
        <v>329</v>
      </c>
      <c r="B32" s="10">
        <v>5143458</v>
      </c>
      <c r="C32" s="10">
        <v>5002783</v>
      </c>
      <c r="D32" s="10">
        <v>5453203</v>
      </c>
      <c r="E32" s="10">
        <v>4776535</v>
      </c>
      <c r="F32" s="10">
        <v>4665869</v>
      </c>
      <c r="G32" s="10">
        <v>5712946</v>
      </c>
    </row>
    <row r="33" spans="1:8" x14ac:dyDescent="0.45">
      <c r="A33" s="9" t="s">
        <v>330</v>
      </c>
      <c r="B33" s="10">
        <v>4911062</v>
      </c>
      <c r="C33" s="10">
        <v>4812984</v>
      </c>
      <c r="D33" s="10">
        <v>5308609</v>
      </c>
      <c r="E33" s="10">
        <v>4570968</v>
      </c>
      <c r="F33" s="10">
        <v>4415179</v>
      </c>
      <c r="G33" s="10">
        <v>5459321</v>
      </c>
    </row>
    <row r="34" spans="1:8" x14ac:dyDescent="0.45">
      <c r="A34" s="9" t="s">
        <v>331</v>
      </c>
      <c r="B34" s="10">
        <v>4911062</v>
      </c>
      <c r="C34" s="10">
        <v>4812984</v>
      </c>
      <c r="D34" s="10">
        <v>5308609</v>
      </c>
      <c r="E34" s="10">
        <v>4570968</v>
      </c>
      <c r="F34" s="10">
        <v>4415179</v>
      </c>
      <c r="G34" s="10">
        <v>5459321</v>
      </c>
    </row>
    <row r="35" spans="1:8" x14ac:dyDescent="0.45">
      <c r="A35" s="9" t="s">
        <v>332</v>
      </c>
      <c r="B35" s="10">
        <v>232396</v>
      </c>
      <c r="C35" s="10">
        <v>189799</v>
      </c>
      <c r="D35" s="10">
        <v>144594</v>
      </c>
      <c r="E35" s="10">
        <v>205567</v>
      </c>
      <c r="F35" s="10">
        <v>250690</v>
      </c>
      <c r="G35" s="10">
        <v>253625</v>
      </c>
    </row>
    <row r="36" spans="1:8" x14ac:dyDescent="0.45">
      <c r="A36" s="9" t="s">
        <v>333</v>
      </c>
      <c r="B36" s="10">
        <v>232396</v>
      </c>
      <c r="C36" s="10">
        <v>189799</v>
      </c>
      <c r="D36" s="10">
        <v>144594</v>
      </c>
      <c r="E36" s="10">
        <v>205567</v>
      </c>
      <c r="F36" s="10">
        <v>250690</v>
      </c>
      <c r="G36" s="10">
        <v>253625</v>
      </c>
    </row>
    <row r="37" spans="1:8" x14ac:dyDescent="0.45">
      <c r="A37" s="275" t="s">
        <v>334</v>
      </c>
      <c r="B37" s="10">
        <v>641973389</v>
      </c>
      <c r="C37" s="10">
        <v>657197074</v>
      </c>
      <c r="D37" s="10">
        <v>740038245</v>
      </c>
      <c r="E37" s="10">
        <v>799155625</v>
      </c>
      <c r="F37" s="276">
        <v>929674585</v>
      </c>
      <c r="G37" s="277">
        <v>1343140997</v>
      </c>
      <c r="H37" s="16">
        <f>G37*0.19</f>
        <v>255196789.43000001</v>
      </c>
    </row>
    <row r="38" spans="1:8" x14ac:dyDescent="0.45">
      <c r="A38" s="9" t="s">
        <v>335</v>
      </c>
      <c r="B38" s="10">
        <v>125272838</v>
      </c>
      <c r="C38" s="10">
        <v>128731658</v>
      </c>
      <c r="D38" s="10">
        <v>125618668</v>
      </c>
      <c r="E38" s="10">
        <v>124948184</v>
      </c>
      <c r="F38" s="10">
        <v>190604206</v>
      </c>
      <c r="G38" s="10">
        <v>198939362</v>
      </c>
    </row>
    <row r="39" spans="1:8" x14ac:dyDescent="0.45">
      <c r="A39" s="9" t="s">
        <v>336</v>
      </c>
      <c r="B39" s="10">
        <v>37233088</v>
      </c>
      <c r="C39" s="10">
        <v>41180745</v>
      </c>
      <c r="D39" s="10">
        <v>41413129</v>
      </c>
      <c r="E39" s="10">
        <v>51188688</v>
      </c>
      <c r="F39" s="10">
        <v>60666010</v>
      </c>
      <c r="G39" s="10">
        <v>59702987</v>
      </c>
    </row>
    <row r="40" spans="1:8" x14ac:dyDescent="0.45">
      <c r="A40" s="9" t="s">
        <v>337</v>
      </c>
      <c r="B40" s="10">
        <v>12923336</v>
      </c>
      <c r="C40" s="10">
        <v>10939472</v>
      </c>
      <c r="D40" s="10">
        <v>10517076</v>
      </c>
      <c r="E40" s="10">
        <v>14077715</v>
      </c>
      <c r="F40" s="10">
        <v>16575526</v>
      </c>
      <c r="G40" s="10">
        <v>13783972</v>
      </c>
    </row>
    <row r="41" spans="1:8" x14ac:dyDescent="0.45">
      <c r="A41" s="9" t="s">
        <v>338</v>
      </c>
      <c r="B41" s="10">
        <v>21909077</v>
      </c>
      <c r="C41" s="10">
        <v>28011022</v>
      </c>
      <c r="D41" s="10">
        <v>28213456</v>
      </c>
      <c r="E41" s="10">
        <v>34416672</v>
      </c>
      <c r="F41" s="10">
        <v>41337416</v>
      </c>
      <c r="G41" s="10">
        <v>42369136</v>
      </c>
    </row>
    <row r="42" spans="1:8" x14ac:dyDescent="0.45">
      <c r="A42" s="9" t="s">
        <v>339</v>
      </c>
      <c r="B42" s="10">
        <v>2400675</v>
      </c>
      <c r="C42" s="10">
        <v>2230251</v>
      </c>
      <c r="D42" s="10">
        <v>2682597</v>
      </c>
      <c r="E42" s="10">
        <v>2694301</v>
      </c>
      <c r="F42" s="10">
        <v>2753068</v>
      </c>
      <c r="G42" s="10">
        <v>3549879</v>
      </c>
    </row>
    <row r="43" spans="1:8" x14ac:dyDescent="0.45">
      <c r="A43" s="9" t="s">
        <v>340</v>
      </c>
      <c r="B43" s="10">
        <v>748286</v>
      </c>
      <c r="C43" s="10">
        <v>1137582</v>
      </c>
      <c r="D43" s="10">
        <v>1279305</v>
      </c>
      <c r="E43" s="10">
        <v>967744</v>
      </c>
      <c r="F43" s="10">
        <v>1056921</v>
      </c>
      <c r="G43" s="10">
        <v>1347423</v>
      </c>
    </row>
    <row r="44" spans="1:8" x14ac:dyDescent="0.45">
      <c r="A44" s="9" t="s">
        <v>341</v>
      </c>
      <c r="B44" s="10">
        <v>748286</v>
      </c>
      <c r="C44" s="10">
        <v>1137582</v>
      </c>
      <c r="D44" s="10">
        <v>1279305</v>
      </c>
      <c r="E44" s="10">
        <v>967744</v>
      </c>
      <c r="F44" s="10">
        <v>1056921</v>
      </c>
      <c r="G44" s="10">
        <v>1347423</v>
      </c>
    </row>
    <row r="45" spans="1:8" x14ac:dyDescent="0.45">
      <c r="A45" s="9" t="s">
        <v>342</v>
      </c>
      <c r="B45" s="10">
        <v>5458148</v>
      </c>
      <c r="C45" s="10">
        <v>6005978</v>
      </c>
      <c r="D45" s="10">
        <v>6506136</v>
      </c>
      <c r="E45" s="10">
        <v>6028793</v>
      </c>
      <c r="F45" s="10">
        <v>7075330</v>
      </c>
      <c r="G45" s="10">
        <v>7370181</v>
      </c>
    </row>
    <row r="46" spans="1:8" x14ac:dyDescent="0.45">
      <c r="A46" s="9" t="s">
        <v>343</v>
      </c>
      <c r="B46" s="10">
        <v>1524388</v>
      </c>
      <c r="C46" s="10">
        <v>1443993</v>
      </c>
      <c r="D46" s="10">
        <v>1758633</v>
      </c>
      <c r="E46" s="10">
        <v>1423586</v>
      </c>
      <c r="F46" s="10">
        <v>1978555</v>
      </c>
      <c r="G46" s="10">
        <v>2321245</v>
      </c>
    </row>
    <row r="47" spans="1:8" x14ac:dyDescent="0.45">
      <c r="A47" s="9" t="s">
        <v>344</v>
      </c>
      <c r="B47" s="10">
        <v>681342</v>
      </c>
      <c r="C47" s="10">
        <v>804687</v>
      </c>
      <c r="D47" s="10">
        <v>754632</v>
      </c>
      <c r="E47" s="10">
        <v>1062411</v>
      </c>
      <c r="F47" s="10">
        <v>1411234</v>
      </c>
      <c r="G47" s="10">
        <v>1419847</v>
      </c>
    </row>
    <row r="48" spans="1:8" x14ac:dyDescent="0.45">
      <c r="A48" s="9" t="s">
        <v>345</v>
      </c>
      <c r="B48" s="10">
        <v>3252418</v>
      </c>
      <c r="C48" s="10">
        <v>3757298</v>
      </c>
      <c r="D48" s="10">
        <v>3992871</v>
      </c>
      <c r="E48" s="10">
        <v>3542796</v>
      </c>
      <c r="F48" s="10">
        <v>3685541</v>
      </c>
      <c r="G48" s="10">
        <v>3629089</v>
      </c>
    </row>
    <row r="49" spans="1:7" x14ac:dyDescent="0.45">
      <c r="A49" s="9" t="s">
        <v>346</v>
      </c>
      <c r="B49" s="10">
        <v>8410443</v>
      </c>
      <c r="C49" s="10">
        <v>6551780</v>
      </c>
      <c r="D49" s="10">
        <v>11598649</v>
      </c>
      <c r="E49" s="10">
        <v>8078457</v>
      </c>
      <c r="F49" s="10">
        <v>27723477</v>
      </c>
      <c r="G49" s="10">
        <v>30657431</v>
      </c>
    </row>
    <row r="50" spans="1:7" x14ac:dyDescent="0.45">
      <c r="A50" s="9" t="s">
        <v>347</v>
      </c>
      <c r="B50" s="10">
        <v>8052054</v>
      </c>
      <c r="C50" s="10">
        <v>5825713</v>
      </c>
      <c r="D50" s="10">
        <v>10759497</v>
      </c>
      <c r="E50" s="10">
        <v>5801529</v>
      </c>
      <c r="F50" s="10">
        <v>17994129</v>
      </c>
      <c r="G50" s="10">
        <v>29139007</v>
      </c>
    </row>
    <row r="51" spans="1:7" x14ac:dyDescent="0.45">
      <c r="A51" s="9" t="s">
        <v>348</v>
      </c>
      <c r="B51" s="10">
        <v>229136</v>
      </c>
      <c r="C51" s="10">
        <v>680747</v>
      </c>
      <c r="D51" s="10">
        <v>759661</v>
      </c>
      <c r="E51" s="10">
        <v>2222854</v>
      </c>
      <c r="F51" s="10">
        <v>9663910</v>
      </c>
      <c r="G51" s="10">
        <v>1478187</v>
      </c>
    </row>
    <row r="52" spans="1:7" x14ac:dyDescent="0.45">
      <c r="A52" s="9" t="s">
        <v>349</v>
      </c>
      <c r="B52" s="10">
        <v>129253</v>
      </c>
      <c r="C52" s="10">
        <v>45320</v>
      </c>
      <c r="D52" s="10">
        <v>79491</v>
      </c>
      <c r="E52" s="10">
        <v>54074</v>
      </c>
      <c r="F52" s="10">
        <v>65438</v>
      </c>
      <c r="G52" s="10">
        <v>40237</v>
      </c>
    </row>
    <row r="53" spans="1:7" x14ac:dyDescent="0.45">
      <c r="A53" s="9" t="s">
        <v>350</v>
      </c>
      <c r="B53" s="10">
        <v>10510546</v>
      </c>
      <c r="C53" s="10">
        <v>11381114</v>
      </c>
      <c r="D53" s="10">
        <v>10002466</v>
      </c>
      <c r="E53" s="10">
        <v>9301993</v>
      </c>
      <c r="F53" s="10">
        <v>15079758</v>
      </c>
      <c r="G53" s="10">
        <v>12195189</v>
      </c>
    </row>
    <row r="54" spans="1:7" x14ac:dyDescent="0.45">
      <c r="A54" s="9" t="s">
        <v>351</v>
      </c>
      <c r="B54" s="10">
        <v>1697016</v>
      </c>
      <c r="C54" s="10">
        <v>1966581</v>
      </c>
      <c r="D54" s="10">
        <v>1868562</v>
      </c>
      <c r="E54" s="10">
        <v>1775259</v>
      </c>
      <c r="F54" s="10">
        <v>2973621</v>
      </c>
      <c r="G54" s="10">
        <v>2180191</v>
      </c>
    </row>
    <row r="55" spans="1:7" x14ac:dyDescent="0.45">
      <c r="A55" s="9" t="s">
        <v>352</v>
      </c>
      <c r="B55" s="10">
        <v>7998054</v>
      </c>
      <c r="C55" s="10">
        <v>8624732</v>
      </c>
      <c r="D55" s="10">
        <v>7795019</v>
      </c>
      <c r="E55" s="10">
        <v>6919226</v>
      </c>
      <c r="F55" s="10">
        <v>11108885</v>
      </c>
      <c r="G55" s="10">
        <v>8775056</v>
      </c>
    </row>
    <row r="56" spans="1:7" x14ac:dyDescent="0.45">
      <c r="A56" s="9" t="s">
        <v>353</v>
      </c>
      <c r="B56" s="10">
        <v>815476</v>
      </c>
      <c r="C56" s="10">
        <v>789801</v>
      </c>
      <c r="D56" s="10">
        <v>338885</v>
      </c>
      <c r="E56" s="10">
        <v>607508</v>
      </c>
      <c r="F56" s="10">
        <v>997252</v>
      </c>
      <c r="G56" s="10">
        <v>1239942</v>
      </c>
    </row>
    <row r="57" spans="1:7" x14ac:dyDescent="0.45">
      <c r="A57" s="9" t="s">
        <v>354</v>
      </c>
      <c r="B57" s="10">
        <v>13207144</v>
      </c>
      <c r="C57" s="10">
        <v>12450124</v>
      </c>
      <c r="D57" s="10">
        <v>12829195</v>
      </c>
      <c r="E57" s="10">
        <v>13715713</v>
      </c>
      <c r="F57" s="10">
        <v>18241277</v>
      </c>
      <c r="G57" s="10">
        <v>20065257</v>
      </c>
    </row>
    <row r="58" spans="1:7" x14ac:dyDescent="0.45">
      <c r="A58" s="9" t="s">
        <v>355</v>
      </c>
      <c r="B58" s="10">
        <v>3313721</v>
      </c>
      <c r="C58" s="10">
        <v>2582610</v>
      </c>
      <c r="D58" s="10">
        <v>2439800</v>
      </c>
      <c r="E58" s="10">
        <v>2776944</v>
      </c>
      <c r="F58" s="10">
        <v>3853587</v>
      </c>
      <c r="G58" s="10">
        <v>4563568</v>
      </c>
    </row>
    <row r="59" spans="1:7" x14ac:dyDescent="0.45">
      <c r="A59" s="9" t="s">
        <v>356</v>
      </c>
      <c r="B59" s="10">
        <v>2361228</v>
      </c>
      <c r="C59" s="10">
        <v>2278429</v>
      </c>
      <c r="D59" s="10">
        <v>2173189</v>
      </c>
      <c r="E59" s="10">
        <v>2365905</v>
      </c>
      <c r="F59" s="10">
        <v>2990727</v>
      </c>
      <c r="G59" s="10">
        <v>2782596</v>
      </c>
    </row>
    <row r="60" spans="1:7" x14ac:dyDescent="0.45">
      <c r="A60" s="9" t="s">
        <v>357</v>
      </c>
      <c r="B60" s="10">
        <v>244251</v>
      </c>
      <c r="C60" s="10">
        <v>145820</v>
      </c>
      <c r="D60" s="10">
        <v>145208</v>
      </c>
      <c r="E60" s="10">
        <v>134681</v>
      </c>
      <c r="F60" s="10">
        <v>142052</v>
      </c>
      <c r="G60" s="10">
        <v>146640</v>
      </c>
    </row>
    <row r="61" spans="1:7" x14ac:dyDescent="0.45">
      <c r="A61" s="9" t="s">
        <v>358</v>
      </c>
      <c r="B61" s="10">
        <v>1991128</v>
      </c>
      <c r="C61" s="10">
        <v>1837376</v>
      </c>
      <c r="D61" s="10">
        <v>1861225</v>
      </c>
      <c r="E61" s="10">
        <v>1433894</v>
      </c>
      <c r="F61" s="10">
        <v>1584386</v>
      </c>
      <c r="G61" s="10">
        <v>1400624</v>
      </c>
    </row>
    <row r="62" spans="1:7" x14ac:dyDescent="0.45">
      <c r="A62" s="9" t="s">
        <v>359</v>
      </c>
      <c r="B62" s="10">
        <v>654769</v>
      </c>
      <c r="C62" s="10">
        <v>803821</v>
      </c>
      <c r="D62" s="10">
        <v>996249</v>
      </c>
      <c r="E62" s="10">
        <v>1227228</v>
      </c>
      <c r="F62" s="10">
        <v>1372819</v>
      </c>
      <c r="G62" s="10">
        <v>1622133</v>
      </c>
    </row>
    <row r="63" spans="1:7" x14ac:dyDescent="0.45">
      <c r="A63" s="9" t="s">
        <v>360</v>
      </c>
      <c r="B63" s="10">
        <v>4311967</v>
      </c>
      <c r="C63" s="10">
        <v>4319350</v>
      </c>
      <c r="D63" s="10">
        <v>4809224</v>
      </c>
      <c r="E63" s="10">
        <v>5440213</v>
      </c>
      <c r="F63" s="10">
        <v>7677034</v>
      </c>
      <c r="G63" s="10">
        <v>8921779</v>
      </c>
    </row>
    <row r="64" spans="1:7" x14ac:dyDescent="0.45">
      <c r="A64" s="9" t="s">
        <v>361</v>
      </c>
      <c r="B64" s="10">
        <v>330080</v>
      </c>
      <c r="C64" s="10">
        <v>482718</v>
      </c>
      <c r="D64" s="10">
        <v>404300</v>
      </c>
      <c r="E64" s="10">
        <v>336848</v>
      </c>
      <c r="F64" s="10">
        <v>620672</v>
      </c>
      <c r="G64" s="10">
        <v>627917</v>
      </c>
    </row>
    <row r="65" spans="1:7" x14ac:dyDescent="0.45">
      <c r="A65" s="9" t="s">
        <v>362</v>
      </c>
      <c r="B65" s="10">
        <v>28092194</v>
      </c>
      <c r="C65" s="10">
        <v>25635669</v>
      </c>
      <c r="D65" s="10">
        <v>16408442</v>
      </c>
      <c r="E65" s="10">
        <v>10952023</v>
      </c>
      <c r="F65" s="10">
        <v>33701438</v>
      </c>
      <c r="G65" s="10">
        <v>38508585</v>
      </c>
    </row>
    <row r="66" spans="1:7" x14ac:dyDescent="0.45">
      <c r="A66" s="9" t="s">
        <v>363</v>
      </c>
      <c r="B66" s="10">
        <v>27448738</v>
      </c>
      <c r="C66" s="10">
        <v>24802586</v>
      </c>
      <c r="D66" s="10">
        <v>15245727</v>
      </c>
      <c r="E66" s="10">
        <v>9628272</v>
      </c>
      <c r="F66" s="10">
        <v>32190143</v>
      </c>
      <c r="G66" s="10">
        <v>36908496</v>
      </c>
    </row>
    <row r="67" spans="1:7" x14ac:dyDescent="0.45">
      <c r="A67" s="9" t="s">
        <v>364</v>
      </c>
      <c r="B67" s="10">
        <v>643456</v>
      </c>
      <c r="C67" s="10">
        <v>833083</v>
      </c>
      <c r="D67" s="10">
        <v>1162715</v>
      </c>
      <c r="E67" s="10">
        <v>1323751</v>
      </c>
      <c r="F67" s="10">
        <v>1511295</v>
      </c>
      <c r="G67" s="10">
        <v>1600089</v>
      </c>
    </row>
    <row r="68" spans="1:7" x14ac:dyDescent="0.45">
      <c r="A68" s="9" t="s">
        <v>365</v>
      </c>
      <c r="B68" s="10">
        <v>2449099</v>
      </c>
      <c r="C68" s="10">
        <v>2610550</v>
      </c>
      <c r="D68" s="10">
        <v>3249862</v>
      </c>
      <c r="E68" s="10">
        <v>3112681</v>
      </c>
      <c r="F68" s="10">
        <v>3669317</v>
      </c>
      <c r="G68" s="10">
        <v>3612792</v>
      </c>
    </row>
    <row r="69" spans="1:7" x14ac:dyDescent="0.45">
      <c r="A69" s="9" t="s">
        <v>366</v>
      </c>
      <c r="B69" s="10">
        <v>1960821</v>
      </c>
      <c r="C69" s="10">
        <v>2250062</v>
      </c>
      <c r="D69" s="10">
        <v>2640258</v>
      </c>
      <c r="E69" s="10">
        <v>2536537</v>
      </c>
      <c r="F69" s="10">
        <v>2666242</v>
      </c>
      <c r="G69" s="10">
        <v>2959281</v>
      </c>
    </row>
    <row r="70" spans="1:7" x14ac:dyDescent="0.45">
      <c r="A70" s="9" t="s">
        <v>367</v>
      </c>
      <c r="B70" s="10">
        <v>488278</v>
      </c>
      <c r="C70" s="10">
        <v>360488</v>
      </c>
      <c r="D70" s="10">
        <v>609604</v>
      </c>
      <c r="E70" s="10">
        <v>576144</v>
      </c>
      <c r="F70" s="10">
        <v>1003075</v>
      </c>
      <c r="G70" s="10">
        <v>653511</v>
      </c>
    </row>
    <row r="71" spans="1:7" x14ac:dyDescent="0.45">
      <c r="A71" s="9" t="s">
        <v>368</v>
      </c>
      <c r="B71" s="10">
        <v>19163890</v>
      </c>
      <c r="C71" s="10">
        <v>21778116</v>
      </c>
      <c r="D71" s="10">
        <v>22331484</v>
      </c>
      <c r="E71" s="10">
        <v>21602092</v>
      </c>
      <c r="F71" s="10">
        <v>23390678</v>
      </c>
      <c r="G71" s="10">
        <v>25479517</v>
      </c>
    </row>
    <row r="72" spans="1:7" x14ac:dyDescent="0.45">
      <c r="A72" s="9" t="s">
        <v>369</v>
      </c>
      <c r="B72" s="10">
        <v>3500834</v>
      </c>
      <c r="C72" s="10">
        <v>3847581</v>
      </c>
      <c r="D72" s="10">
        <v>3905987</v>
      </c>
      <c r="E72" s="10">
        <v>4033941</v>
      </c>
      <c r="F72" s="10">
        <v>3565656</v>
      </c>
      <c r="G72" s="10">
        <v>4805447</v>
      </c>
    </row>
    <row r="73" spans="1:7" x14ac:dyDescent="0.45">
      <c r="A73" s="9" t="s">
        <v>370</v>
      </c>
      <c r="B73" s="10">
        <v>4556721</v>
      </c>
      <c r="C73" s="10">
        <v>4830378</v>
      </c>
      <c r="D73" s="10">
        <v>4286725</v>
      </c>
      <c r="E73" s="10">
        <v>4132267</v>
      </c>
      <c r="F73" s="10">
        <v>5230392</v>
      </c>
      <c r="G73" s="10">
        <v>4205799</v>
      </c>
    </row>
    <row r="74" spans="1:7" x14ac:dyDescent="0.45">
      <c r="A74" s="9" t="s">
        <v>371</v>
      </c>
      <c r="B74" s="10">
        <v>4467777</v>
      </c>
      <c r="C74" s="10">
        <v>4876598</v>
      </c>
      <c r="D74" s="10">
        <v>5524126</v>
      </c>
      <c r="E74" s="10">
        <v>5617724</v>
      </c>
      <c r="F74" s="10">
        <v>5467453</v>
      </c>
      <c r="G74" s="10">
        <v>6113376</v>
      </c>
    </row>
    <row r="75" spans="1:7" x14ac:dyDescent="0.45">
      <c r="A75" s="9" t="s">
        <v>372</v>
      </c>
      <c r="B75" s="10">
        <v>1500177</v>
      </c>
      <c r="C75" s="10">
        <v>1715038</v>
      </c>
      <c r="D75" s="10">
        <v>1587329</v>
      </c>
      <c r="E75" s="10">
        <v>1668146</v>
      </c>
      <c r="F75" s="10">
        <v>1783690</v>
      </c>
      <c r="G75" s="10">
        <v>1755666</v>
      </c>
    </row>
    <row r="76" spans="1:7" x14ac:dyDescent="0.45">
      <c r="A76" s="9" t="s">
        <v>373</v>
      </c>
      <c r="B76" s="10">
        <v>1532885</v>
      </c>
      <c r="C76" s="10">
        <v>1723159</v>
      </c>
      <c r="D76" s="10">
        <v>1813502</v>
      </c>
      <c r="E76" s="10">
        <v>1865022</v>
      </c>
      <c r="F76" s="10">
        <v>2087160</v>
      </c>
      <c r="G76" s="10">
        <v>2324781</v>
      </c>
    </row>
    <row r="77" spans="1:7" x14ac:dyDescent="0.45">
      <c r="A77" s="9" t="s">
        <v>374</v>
      </c>
      <c r="B77" s="10">
        <v>179644</v>
      </c>
      <c r="C77" s="10">
        <v>162695</v>
      </c>
      <c r="D77" s="10">
        <v>183895</v>
      </c>
      <c r="E77" s="10">
        <v>240413</v>
      </c>
      <c r="F77" s="10">
        <v>219324</v>
      </c>
      <c r="G77" s="10">
        <v>235186</v>
      </c>
    </row>
    <row r="78" spans="1:7" x14ac:dyDescent="0.45">
      <c r="A78" s="9" t="s">
        <v>375</v>
      </c>
      <c r="B78" s="10">
        <v>3425852</v>
      </c>
      <c r="C78" s="10">
        <v>4622667</v>
      </c>
      <c r="D78" s="10">
        <v>5029920</v>
      </c>
      <c r="E78" s="10">
        <v>4044579</v>
      </c>
      <c r="F78" s="10">
        <v>5037003</v>
      </c>
      <c r="G78" s="10">
        <v>6039262</v>
      </c>
    </row>
    <row r="79" spans="1:7" x14ac:dyDescent="0.45">
      <c r="A79" s="9" t="s">
        <v>376</v>
      </c>
      <c r="B79" s="10">
        <v>25184085</v>
      </c>
      <c r="C79" s="10">
        <v>24693988</v>
      </c>
      <c r="D79" s="10">
        <v>25384705</v>
      </c>
      <c r="E79" s="10">
        <v>27918191</v>
      </c>
      <c r="F79" s="10">
        <v>27970718</v>
      </c>
      <c r="G79" s="10">
        <v>32823471</v>
      </c>
    </row>
    <row r="80" spans="1:7" x14ac:dyDescent="0.45">
      <c r="A80" s="9" t="s">
        <v>377</v>
      </c>
      <c r="B80" s="10">
        <v>12925923</v>
      </c>
      <c r="C80" s="10">
        <v>11838643</v>
      </c>
      <c r="D80" s="10">
        <v>11995642</v>
      </c>
      <c r="E80" s="10">
        <v>13882588</v>
      </c>
      <c r="F80" s="10">
        <v>14356055</v>
      </c>
      <c r="G80" s="10">
        <v>17601176</v>
      </c>
    </row>
    <row r="81" spans="1:7" x14ac:dyDescent="0.45">
      <c r="A81" s="9" t="s">
        <v>378</v>
      </c>
      <c r="B81" s="10">
        <v>669870</v>
      </c>
      <c r="C81" s="10">
        <v>587297</v>
      </c>
      <c r="D81" s="10">
        <v>565716</v>
      </c>
      <c r="E81" s="10">
        <v>488766</v>
      </c>
      <c r="F81" s="10">
        <v>522591</v>
      </c>
      <c r="G81" s="10">
        <v>1155645</v>
      </c>
    </row>
    <row r="82" spans="1:7" x14ac:dyDescent="0.45">
      <c r="A82" s="9" t="s">
        <v>379</v>
      </c>
      <c r="B82" s="10">
        <v>631019</v>
      </c>
      <c r="C82" s="10">
        <v>745282</v>
      </c>
      <c r="D82" s="10">
        <v>691839</v>
      </c>
      <c r="E82" s="10">
        <v>802690</v>
      </c>
      <c r="F82" s="10">
        <v>941932</v>
      </c>
      <c r="G82" s="10">
        <v>1167782</v>
      </c>
    </row>
    <row r="83" spans="1:7" x14ac:dyDescent="0.45">
      <c r="A83" s="9" t="s">
        <v>380</v>
      </c>
      <c r="B83" s="10">
        <v>11625034</v>
      </c>
      <c r="C83" s="10">
        <v>10506064</v>
      </c>
      <c r="D83" s="10">
        <v>10738087</v>
      </c>
      <c r="E83" s="10">
        <v>12591132</v>
      </c>
      <c r="F83" s="10">
        <v>12891532</v>
      </c>
      <c r="G83" s="10">
        <v>15277749</v>
      </c>
    </row>
    <row r="84" spans="1:7" x14ac:dyDescent="0.45">
      <c r="A84" s="9" t="s">
        <v>381</v>
      </c>
      <c r="B84" s="10">
        <v>12258162</v>
      </c>
      <c r="C84" s="10">
        <v>12855345</v>
      </c>
      <c r="D84" s="10">
        <v>13389063</v>
      </c>
      <c r="E84" s="10">
        <v>14035603</v>
      </c>
      <c r="F84" s="10">
        <v>13614663</v>
      </c>
      <c r="G84" s="10">
        <v>15222295</v>
      </c>
    </row>
    <row r="85" spans="1:7" x14ac:dyDescent="0.45">
      <c r="A85" s="9" t="s">
        <v>382</v>
      </c>
      <c r="B85" s="10">
        <v>667152</v>
      </c>
      <c r="C85" s="10">
        <v>706615</v>
      </c>
      <c r="D85" s="10">
        <v>652400</v>
      </c>
      <c r="E85" s="10">
        <v>632798</v>
      </c>
      <c r="F85" s="10">
        <v>673714</v>
      </c>
      <c r="G85" s="10">
        <v>785153</v>
      </c>
    </row>
    <row r="86" spans="1:7" x14ac:dyDescent="0.45">
      <c r="A86" s="9" t="s">
        <v>383</v>
      </c>
      <c r="B86" s="10">
        <v>11591010</v>
      </c>
      <c r="C86" s="10">
        <v>12148730</v>
      </c>
      <c r="D86" s="10">
        <v>12736663</v>
      </c>
      <c r="E86" s="10">
        <v>13402805</v>
      </c>
      <c r="F86" s="10">
        <v>12940949</v>
      </c>
      <c r="G86" s="10">
        <v>14437142</v>
      </c>
    </row>
    <row r="87" spans="1:7" x14ac:dyDescent="0.45">
      <c r="A87" s="9" t="s">
        <v>384</v>
      </c>
      <c r="B87" s="10">
        <v>3543774</v>
      </c>
      <c r="C87" s="10">
        <v>3396209</v>
      </c>
      <c r="D87" s="10">
        <v>3963633</v>
      </c>
      <c r="E87" s="10">
        <v>4011330</v>
      </c>
      <c r="F87" s="10">
        <v>4113858</v>
      </c>
      <c r="G87" s="10">
        <v>3531588</v>
      </c>
    </row>
    <row r="88" spans="1:7" x14ac:dyDescent="0.45">
      <c r="A88" s="9" t="s">
        <v>385</v>
      </c>
      <c r="B88" s="10">
        <v>822313</v>
      </c>
      <c r="C88" s="10">
        <v>975799</v>
      </c>
      <c r="D88" s="10">
        <v>1438354</v>
      </c>
      <c r="E88" s="10">
        <v>1104606</v>
      </c>
      <c r="F88" s="10">
        <v>1414815</v>
      </c>
      <c r="G88" s="10">
        <v>1477378</v>
      </c>
    </row>
    <row r="89" spans="1:7" x14ac:dyDescent="0.45">
      <c r="A89" s="9" t="s">
        <v>386</v>
      </c>
      <c r="B89" s="10">
        <v>822313</v>
      </c>
      <c r="C89" s="10">
        <v>975799</v>
      </c>
      <c r="D89" s="10">
        <v>1438354</v>
      </c>
      <c r="E89" s="10">
        <v>1104606</v>
      </c>
      <c r="F89" s="10">
        <v>1414815</v>
      </c>
      <c r="G89" s="10">
        <v>1477378</v>
      </c>
    </row>
    <row r="90" spans="1:7" x14ac:dyDescent="0.45">
      <c r="A90" s="9" t="s">
        <v>387</v>
      </c>
      <c r="B90" s="10">
        <v>2721461</v>
      </c>
      <c r="C90" s="10">
        <v>2420410</v>
      </c>
      <c r="D90" s="10">
        <v>2525279</v>
      </c>
      <c r="E90" s="10">
        <v>2906724</v>
      </c>
      <c r="F90" s="10">
        <v>2699043</v>
      </c>
      <c r="G90" s="10">
        <v>2054210</v>
      </c>
    </row>
    <row r="91" spans="1:7" x14ac:dyDescent="0.45">
      <c r="A91" s="9" t="s">
        <v>388</v>
      </c>
      <c r="B91" s="10">
        <v>2721461</v>
      </c>
      <c r="C91" s="10">
        <v>2420410</v>
      </c>
      <c r="D91" s="10">
        <v>2525279</v>
      </c>
      <c r="E91" s="10">
        <v>2906724</v>
      </c>
      <c r="F91" s="10">
        <v>2699043</v>
      </c>
      <c r="G91" s="10">
        <v>2054210</v>
      </c>
    </row>
    <row r="92" spans="1:7" x14ac:dyDescent="0.45">
      <c r="A92" s="9" t="s">
        <v>389</v>
      </c>
      <c r="B92" s="10">
        <v>11089044</v>
      </c>
      <c r="C92" s="10">
        <v>13114081</v>
      </c>
      <c r="D92" s="10">
        <v>12582203</v>
      </c>
      <c r="E92" s="10">
        <v>12611146</v>
      </c>
      <c r="F92" s="10">
        <v>13337991</v>
      </c>
      <c r="G92" s="10">
        <v>19648907</v>
      </c>
    </row>
    <row r="93" spans="1:7" x14ac:dyDescent="0.45">
      <c r="A93" s="9" t="s">
        <v>390</v>
      </c>
      <c r="B93" s="10">
        <v>1368540</v>
      </c>
      <c r="C93" s="10">
        <v>1857001</v>
      </c>
      <c r="D93" s="10">
        <v>1604049</v>
      </c>
      <c r="E93" s="10">
        <v>1703504</v>
      </c>
      <c r="F93" s="10">
        <v>2099861</v>
      </c>
      <c r="G93" s="10">
        <v>3252733</v>
      </c>
    </row>
    <row r="94" spans="1:7" x14ac:dyDescent="0.45">
      <c r="A94" s="9" t="s">
        <v>391</v>
      </c>
      <c r="B94" s="10">
        <v>827717</v>
      </c>
      <c r="C94" s="10">
        <v>1183470</v>
      </c>
      <c r="D94" s="10">
        <v>1072510</v>
      </c>
      <c r="E94" s="10">
        <v>1167829</v>
      </c>
      <c r="F94" s="10">
        <v>1531623</v>
      </c>
      <c r="G94" s="10">
        <v>2397116</v>
      </c>
    </row>
    <row r="95" spans="1:7" x14ac:dyDescent="0.45">
      <c r="A95" s="9" t="s">
        <v>392</v>
      </c>
      <c r="B95" s="10">
        <v>133327</v>
      </c>
      <c r="C95" s="10">
        <v>118103</v>
      </c>
      <c r="D95" s="10">
        <v>148920</v>
      </c>
      <c r="E95" s="10">
        <v>125911</v>
      </c>
      <c r="F95" s="10">
        <v>127183</v>
      </c>
      <c r="G95" s="10">
        <v>153315</v>
      </c>
    </row>
    <row r="96" spans="1:7" x14ac:dyDescent="0.45">
      <c r="A96" s="9" t="s">
        <v>393</v>
      </c>
      <c r="B96" s="10">
        <v>202498</v>
      </c>
      <c r="C96" s="10">
        <v>263691</v>
      </c>
      <c r="D96" s="10">
        <v>224371</v>
      </c>
      <c r="E96" s="10">
        <v>229091</v>
      </c>
      <c r="F96" s="10">
        <v>275096</v>
      </c>
      <c r="G96" s="10">
        <v>459739</v>
      </c>
    </row>
    <row r="97" spans="1:7" x14ac:dyDescent="0.45">
      <c r="A97" s="9" t="s">
        <v>394</v>
      </c>
      <c r="B97" s="10">
        <v>204998</v>
      </c>
      <c r="C97" s="10">
        <v>291737</v>
      </c>
      <c r="D97" s="10">
        <v>158248</v>
      </c>
      <c r="E97" s="10">
        <v>180673</v>
      </c>
      <c r="F97" s="10">
        <v>165959</v>
      </c>
      <c r="G97" s="10">
        <v>242563</v>
      </c>
    </row>
    <row r="98" spans="1:7" x14ac:dyDescent="0.45">
      <c r="A98" s="9" t="s">
        <v>395</v>
      </c>
      <c r="B98" s="10">
        <v>4016329</v>
      </c>
      <c r="C98" s="10">
        <v>4746973</v>
      </c>
      <c r="D98" s="10">
        <v>4298198</v>
      </c>
      <c r="E98" s="10">
        <v>4087046</v>
      </c>
      <c r="F98" s="10">
        <v>3851662</v>
      </c>
      <c r="G98" s="10">
        <v>5922633</v>
      </c>
    </row>
    <row r="99" spans="1:7" x14ac:dyDescent="0.45">
      <c r="A99" s="9" t="s">
        <v>396</v>
      </c>
      <c r="B99" s="10">
        <v>2706973</v>
      </c>
      <c r="C99" s="10">
        <v>3172635</v>
      </c>
      <c r="D99" s="10">
        <v>3054575</v>
      </c>
      <c r="E99" s="10">
        <v>2845284</v>
      </c>
      <c r="F99" s="10">
        <v>2408743</v>
      </c>
      <c r="G99" s="10">
        <v>3695697</v>
      </c>
    </row>
    <row r="100" spans="1:7" x14ac:dyDescent="0.45">
      <c r="A100" s="9" t="s">
        <v>397</v>
      </c>
      <c r="B100" s="10">
        <v>72101</v>
      </c>
      <c r="C100" s="10">
        <v>78758</v>
      </c>
      <c r="D100" s="10">
        <v>87698</v>
      </c>
      <c r="E100" s="10">
        <v>94383</v>
      </c>
      <c r="F100" s="10">
        <v>116756</v>
      </c>
      <c r="G100" s="10">
        <v>138263</v>
      </c>
    </row>
    <row r="101" spans="1:7" x14ac:dyDescent="0.45">
      <c r="A101" s="9" t="s">
        <v>398</v>
      </c>
      <c r="B101" s="10">
        <v>1237255</v>
      </c>
      <c r="C101" s="10">
        <v>1495580</v>
      </c>
      <c r="D101" s="10">
        <v>1155925</v>
      </c>
      <c r="E101" s="10">
        <v>1147379</v>
      </c>
      <c r="F101" s="10">
        <v>1326163</v>
      </c>
      <c r="G101" s="10">
        <v>2088673</v>
      </c>
    </row>
    <row r="102" spans="1:7" x14ac:dyDescent="0.45">
      <c r="A102" s="9" t="s">
        <v>399</v>
      </c>
      <c r="B102" s="10">
        <v>1254764</v>
      </c>
      <c r="C102" s="10">
        <v>1705573</v>
      </c>
      <c r="D102" s="10">
        <v>1646571</v>
      </c>
      <c r="E102" s="10">
        <v>1593800</v>
      </c>
      <c r="F102" s="10">
        <v>1510957</v>
      </c>
      <c r="G102" s="10">
        <v>2108953</v>
      </c>
    </row>
    <row r="103" spans="1:7" x14ac:dyDescent="0.45">
      <c r="A103" s="9" t="s">
        <v>400</v>
      </c>
      <c r="B103" s="10">
        <v>1254764</v>
      </c>
      <c r="C103" s="10">
        <v>1705573</v>
      </c>
      <c r="D103" s="10">
        <v>1646571</v>
      </c>
      <c r="E103" s="10">
        <v>1593800</v>
      </c>
      <c r="F103" s="10">
        <v>1510957</v>
      </c>
      <c r="G103" s="10">
        <v>2108953</v>
      </c>
    </row>
    <row r="104" spans="1:7" x14ac:dyDescent="0.45">
      <c r="A104" s="9" t="s">
        <v>401</v>
      </c>
      <c r="B104" s="10">
        <v>1044728</v>
      </c>
      <c r="C104" s="10">
        <v>1091801</v>
      </c>
      <c r="D104" s="10">
        <v>1045137</v>
      </c>
      <c r="E104" s="10">
        <v>1156454</v>
      </c>
      <c r="F104" s="10">
        <v>1017193</v>
      </c>
      <c r="G104" s="10">
        <v>1426780</v>
      </c>
    </row>
    <row r="105" spans="1:7" x14ac:dyDescent="0.45">
      <c r="A105" s="9" t="s">
        <v>402</v>
      </c>
      <c r="B105" s="10">
        <v>1044728</v>
      </c>
      <c r="C105" s="10">
        <v>1091801</v>
      </c>
      <c r="D105" s="10">
        <v>1045137</v>
      </c>
      <c r="E105" s="10">
        <v>1156454</v>
      </c>
      <c r="F105" s="10">
        <v>1017193</v>
      </c>
      <c r="G105" s="10">
        <v>1426780</v>
      </c>
    </row>
    <row r="106" spans="1:7" x14ac:dyDescent="0.45">
      <c r="A106" s="9" t="s">
        <v>403</v>
      </c>
      <c r="B106" s="10">
        <v>3404683</v>
      </c>
      <c r="C106" s="10">
        <v>3712733</v>
      </c>
      <c r="D106" s="10">
        <v>3988248</v>
      </c>
      <c r="E106" s="10">
        <v>4070342</v>
      </c>
      <c r="F106" s="10">
        <v>4858318</v>
      </c>
      <c r="G106" s="10">
        <v>6937808</v>
      </c>
    </row>
    <row r="107" spans="1:7" x14ac:dyDescent="0.45">
      <c r="A107" s="9" t="s">
        <v>404</v>
      </c>
      <c r="B107" s="10">
        <v>692549</v>
      </c>
      <c r="C107" s="10">
        <v>807165</v>
      </c>
      <c r="D107" s="10">
        <v>740975</v>
      </c>
      <c r="E107" s="10">
        <v>771332</v>
      </c>
      <c r="F107" s="10">
        <v>792299</v>
      </c>
      <c r="G107" s="10">
        <v>1195230</v>
      </c>
    </row>
    <row r="108" spans="1:7" x14ac:dyDescent="0.45">
      <c r="A108" s="9" t="s">
        <v>405</v>
      </c>
      <c r="B108" s="10">
        <v>235749</v>
      </c>
      <c r="C108" s="10">
        <v>249852</v>
      </c>
      <c r="D108" s="10">
        <v>216371</v>
      </c>
      <c r="E108" s="10">
        <v>230450</v>
      </c>
      <c r="F108" s="10">
        <v>254448</v>
      </c>
      <c r="G108" s="10">
        <v>347302</v>
      </c>
    </row>
    <row r="109" spans="1:7" x14ac:dyDescent="0.45">
      <c r="A109" s="9" t="s">
        <v>406</v>
      </c>
      <c r="B109" s="10">
        <v>187764</v>
      </c>
      <c r="C109" s="10">
        <v>276722</v>
      </c>
      <c r="D109" s="10">
        <v>325477</v>
      </c>
      <c r="E109" s="10">
        <v>313424</v>
      </c>
      <c r="F109" s="10">
        <v>317557</v>
      </c>
      <c r="G109" s="10">
        <v>350611</v>
      </c>
    </row>
    <row r="110" spans="1:7" x14ac:dyDescent="0.45">
      <c r="A110" s="9" t="s">
        <v>407</v>
      </c>
      <c r="B110" s="10">
        <v>1429794</v>
      </c>
      <c r="C110" s="10">
        <v>1440919</v>
      </c>
      <c r="D110" s="10">
        <v>1668773</v>
      </c>
      <c r="E110" s="10">
        <v>1717956</v>
      </c>
      <c r="F110" s="10">
        <v>2189956</v>
      </c>
      <c r="G110" s="10">
        <v>2943530</v>
      </c>
    </row>
    <row r="111" spans="1:7" x14ac:dyDescent="0.45">
      <c r="A111" s="9" t="s">
        <v>408</v>
      </c>
      <c r="B111" s="10">
        <v>858827</v>
      </c>
      <c r="C111" s="10">
        <v>938075</v>
      </c>
      <c r="D111" s="10">
        <v>1036652</v>
      </c>
      <c r="E111" s="10">
        <v>1037180</v>
      </c>
      <c r="F111" s="10">
        <v>1304058</v>
      </c>
      <c r="G111" s="10">
        <v>2101135</v>
      </c>
    </row>
    <row r="112" spans="1:7" x14ac:dyDescent="0.45">
      <c r="A112" s="9" t="s">
        <v>409</v>
      </c>
      <c r="B112" s="10">
        <v>13376902</v>
      </c>
      <c r="C112" s="10">
        <v>14959677</v>
      </c>
      <c r="D112" s="10">
        <v>14783977</v>
      </c>
      <c r="E112" s="10">
        <v>15134871</v>
      </c>
      <c r="F112" s="10">
        <v>12775922</v>
      </c>
      <c r="G112" s="10">
        <v>17860682</v>
      </c>
    </row>
    <row r="113" spans="1:7" x14ac:dyDescent="0.45">
      <c r="A113" s="9" t="s">
        <v>410</v>
      </c>
      <c r="B113" s="10">
        <v>12961774</v>
      </c>
      <c r="C113" s="10">
        <v>14525333</v>
      </c>
      <c r="D113" s="10">
        <v>14225375</v>
      </c>
      <c r="E113" s="10">
        <v>14680028</v>
      </c>
      <c r="F113" s="10">
        <v>12384802</v>
      </c>
      <c r="G113" s="10">
        <v>17531620</v>
      </c>
    </row>
    <row r="114" spans="1:7" x14ac:dyDescent="0.45">
      <c r="A114" s="9" t="s">
        <v>411</v>
      </c>
      <c r="B114" s="10">
        <v>1915327</v>
      </c>
      <c r="C114" s="10">
        <v>2071096</v>
      </c>
      <c r="D114" s="10">
        <v>2119226</v>
      </c>
      <c r="E114" s="10">
        <v>2073987</v>
      </c>
      <c r="F114" s="10">
        <v>1957777</v>
      </c>
      <c r="G114" s="10">
        <v>2856286</v>
      </c>
    </row>
    <row r="115" spans="1:7" x14ac:dyDescent="0.45">
      <c r="A115" s="9" t="s">
        <v>412</v>
      </c>
      <c r="B115" s="10">
        <v>10461308</v>
      </c>
      <c r="C115" s="10">
        <v>11771057</v>
      </c>
      <c r="D115" s="10">
        <v>11294231</v>
      </c>
      <c r="E115" s="10">
        <v>11786058</v>
      </c>
      <c r="F115" s="10">
        <v>9558533</v>
      </c>
      <c r="G115" s="10">
        <v>13732356</v>
      </c>
    </row>
    <row r="116" spans="1:7" x14ac:dyDescent="0.45">
      <c r="A116" s="9" t="s">
        <v>413</v>
      </c>
      <c r="B116" s="10">
        <v>385441</v>
      </c>
      <c r="C116" s="10">
        <v>494873</v>
      </c>
      <c r="D116" s="10">
        <v>605779</v>
      </c>
      <c r="E116" s="10">
        <v>601618</v>
      </c>
      <c r="F116" s="10">
        <v>675510</v>
      </c>
      <c r="G116" s="10">
        <v>697138</v>
      </c>
    </row>
    <row r="117" spans="1:7" x14ac:dyDescent="0.45">
      <c r="A117" s="9" t="s">
        <v>414</v>
      </c>
      <c r="B117" s="10">
        <v>199698</v>
      </c>
      <c r="C117" s="10">
        <v>188307</v>
      </c>
      <c r="D117" s="10">
        <v>206139</v>
      </c>
      <c r="E117" s="10">
        <v>218365</v>
      </c>
      <c r="F117" s="10">
        <v>192982</v>
      </c>
      <c r="G117" s="10">
        <v>245840</v>
      </c>
    </row>
    <row r="118" spans="1:7" x14ac:dyDescent="0.45">
      <c r="A118" s="9" t="s">
        <v>415</v>
      </c>
      <c r="B118" s="10">
        <v>415128</v>
      </c>
      <c r="C118" s="10">
        <v>434344</v>
      </c>
      <c r="D118" s="10">
        <v>558602</v>
      </c>
      <c r="E118" s="10">
        <v>454843</v>
      </c>
      <c r="F118" s="10">
        <v>391120</v>
      </c>
      <c r="G118" s="10">
        <v>329062</v>
      </c>
    </row>
    <row r="119" spans="1:7" x14ac:dyDescent="0.45">
      <c r="A119" s="9" t="s">
        <v>416</v>
      </c>
      <c r="B119" s="10">
        <v>285092</v>
      </c>
      <c r="C119" s="10">
        <v>343975</v>
      </c>
      <c r="D119" s="10">
        <v>498354</v>
      </c>
      <c r="E119" s="10">
        <v>381768</v>
      </c>
      <c r="F119" s="10">
        <v>323671</v>
      </c>
      <c r="G119" s="10">
        <v>249357</v>
      </c>
    </row>
    <row r="120" spans="1:7" x14ac:dyDescent="0.45">
      <c r="A120" s="9" t="s">
        <v>417</v>
      </c>
      <c r="B120" s="10">
        <v>130036</v>
      </c>
      <c r="C120" s="10">
        <v>90369</v>
      </c>
      <c r="D120" s="10">
        <v>60248</v>
      </c>
      <c r="E120" s="10">
        <v>73075</v>
      </c>
      <c r="F120" s="10">
        <v>67449</v>
      </c>
      <c r="G120" s="10">
        <v>79705</v>
      </c>
    </row>
    <row r="121" spans="1:7" x14ac:dyDescent="0.45">
      <c r="A121" s="9" t="s">
        <v>418</v>
      </c>
      <c r="B121" s="10">
        <v>11869955</v>
      </c>
      <c r="C121" s="10">
        <v>12591061</v>
      </c>
      <c r="D121" s="10">
        <v>12784364</v>
      </c>
      <c r="E121" s="10">
        <v>12352977</v>
      </c>
      <c r="F121" s="10">
        <v>10986585</v>
      </c>
      <c r="G121" s="10">
        <v>14559303</v>
      </c>
    </row>
    <row r="122" spans="1:7" x14ac:dyDescent="0.45">
      <c r="A122" s="9" t="s">
        <v>419</v>
      </c>
      <c r="B122" s="10">
        <v>1590832</v>
      </c>
      <c r="C122" s="10">
        <v>1536176</v>
      </c>
      <c r="D122" s="10">
        <v>1861415</v>
      </c>
      <c r="E122" s="10">
        <v>1565914</v>
      </c>
      <c r="F122" s="10">
        <v>2010768</v>
      </c>
      <c r="G122" s="10">
        <v>2552751</v>
      </c>
    </row>
    <row r="123" spans="1:7" x14ac:dyDescent="0.45">
      <c r="A123" s="9" t="s">
        <v>420</v>
      </c>
      <c r="B123" s="10">
        <v>1590832</v>
      </c>
      <c r="C123" s="10">
        <v>1536176</v>
      </c>
      <c r="D123" s="10">
        <v>1861415</v>
      </c>
      <c r="E123" s="10">
        <v>1565914</v>
      </c>
      <c r="F123" s="10">
        <v>2010768</v>
      </c>
      <c r="G123" s="10">
        <v>2552751</v>
      </c>
    </row>
    <row r="124" spans="1:7" x14ac:dyDescent="0.45">
      <c r="A124" s="9" t="s">
        <v>421</v>
      </c>
      <c r="B124" s="10">
        <v>459266</v>
      </c>
      <c r="C124" s="10">
        <v>468926</v>
      </c>
      <c r="D124" s="10">
        <v>456904</v>
      </c>
      <c r="E124" s="10">
        <v>426679</v>
      </c>
      <c r="F124" s="10">
        <v>376584</v>
      </c>
      <c r="G124" s="10">
        <v>463593</v>
      </c>
    </row>
    <row r="125" spans="1:7" x14ac:dyDescent="0.45">
      <c r="A125" s="9" t="s">
        <v>422</v>
      </c>
      <c r="B125" s="10">
        <v>361737</v>
      </c>
      <c r="C125" s="10">
        <v>380343</v>
      </c>
      <c r="D125" s="10">
        <v>316742</v>
      </c>
      <c r="E125" s="10">
        <v>321479</v>
      </c>
      <c r="F125" s="10">
        <v>240805</v>
      </c>
      <c r="G125" s="10">
        <v>343836</v>
      </c>
    </row>
    <row r="126" spans="1:7" x14ac:dyDescent="0.45">
      <c r="A126" s="9" t="s">
        <v>423</v>
      </c>
      <c r="B126" s="10">
        <v>97529</v>
      </c>
      <c r="C126" s="10">
        <v>88583</v>
      </c>
      <c r="D126" s="10">
        <v>140162</v>
      </c>
      <c r="E126" s="10">
        <v>105200</v>
      </c>
      <c r="F126" s="10">
        <v>135779</v>
      </c>
      <c r="G126" s="10">
        <v>119757</v>
      </c>
    </row>
    <row r="127" spans="1:7" x14ac:dyDescent="0.45">
      <c r="A127" s="9" t="s">
        <v>424</v>
      </c>
      <c r="B127" s="10">
        <v>9048329</v>
      </c>
      <c r="C127" s="10">
        <v>9819254</v>
      </c>
      <c r="D127" s="10">
        <v>9680282</v>
      </c>
      <c r="E127" s="10">
        <v>9573998</v>
      </c>
      <c r="F127" s="10">
        <v>7878961</v>
      </c>
      <c r="G127" s="10">
        <v>10734370</v>
      </c>
    </row>
    <row r="128" spans="1:7" x14ac:dyDescent="0.45">
      <c r="A128" s="9" t="s">
        <v>425</v>
      </c>
      <c r="B128" s="10">
        <v>3367657</v>
      </c>
      <c r="C128" s="10">
        <v>3442839</v>
      </c>
      <c r="D128" s="10">
        <v>3280509</v>
      </c>
      <c r="E128" s="10">
        <v>3190663</v>
      </c>
      <c r="F128" s="10">
        <v>2333149</v>
      </c>
      <c r="G128" s="10">
        <v>3290945</v>
      </c>
    </row>
    <row r="129" spans="1:7" x14ac:dyDescent="0.45">
      <c r="A129" s="9" t="s">
        <v>426</v>
      </c>
      <c r="B129" s="10">
        <v>946307</v>
      </c>
      <c r="C129" s="10">
        <v>994417</v>
      </c>
      <c r="D129" s="10">
        <v>935311</v>
      </c>
      <c r="E129" s="10">
        <v>930788</v>
      </c>
      <c r="F129" s="10">
        <v>683397</v>
      </c>
      <c r="G129" s="10">
        <v>1161344</v>
      </c>
    </row>
    <row r="130" spans="1:7" x14ac:dyDescent="0.45">
      <c r="A130" s="9" t="s">
        <v>427</v>
      </c>
      <c r="B130" s="10">
        <v>3331783</v>
      </c>
      <c r="C130" s="10">
        <v>5068836</v>
      </c>
      <c r="D130" s="10">
        <v>5200653</v>
      </c>
      <c r="E130" s="10">
        <v>5229851</v>
      </c>
      <c r="F130" s="10">
        <v>4599138</v>
      </c>
      <c r="G130" s="10">
        <v>5825891</v>
      </c>
    </row>
    <row r="131" spans="1:7" x14ac:dyDescent="0.45">
      <c r="A131" s="9" t="s">
        <v>428</v>
      </c>
      <c r="B131" s="10">
        <v>1402582</v>
      </c>
      <c r="C131" s="10">
        <v>313162</v>
      </c>
      <c r="D131" s="10">
        <v>263809</v>
      </c>
      <c r="E131" s="10">
        <v>222696</v>
      </c>
      <c r="F131" s="10">
        <v>263277</v>
      </c>
      <c r="G131" s="10">
        <v>456190</v>
      </c>
    </row>
    <row r="132" spans="1:7" x14ac:dyDescent="0.45">
      <c r="A132" s="9" t="s">
        <v>429</v>
      </c>
      <c r="B132" s="10">
        <v>771528</v>
      </c>
      <c r="C132" s="10">
        <v>766705</v>
      </c>
      <c r="D132" s="10">
        <v>785763</v>
      </c>
      <c r="E132" s="10">
        <v>786386</v>
      </c>
      <c r="F132" s="10">
        <v>720272</v>
      </c>
      <c r="G132" s="10">
        <v>808589</v>
      </c>
    </row>
    <row r="133" spans="1:7" x14ac:dyDescent="0.45">
      <c r="A133" s="9" t="s">
        <v>430</v>
      </c>
      <c r="B133" s="10">
        <v>771528</v>
      </c>
      <c r="C133" s="10">
        <v>766705</v>
      </c>
      <c r="D133" s="10">
        <v>785763</v>
      </c>
      <c r="E133" s="10">
        <v>786386</v>
      </c>
      <c r="F133" s="10">
        <v>720272</v>
      </c>
      <c r="G133" s="10">
        <v>808589</v>
      </c>
    </row>
    <row r="134" spans="1:7" x14ac:dyDescent="0.45">
      <c r="A134" s="9" t="s">
        <v>431</v>
      </c>
      <c r="B134" s="10">
        <v>6273833</v>
      </c>
      <c r="C134" s="10">
        <v>7101902</v>
      </c>
      <c r="D134" s="10">
        <v>8149293</v>
      </c>
      <c r="E134" s="10">
        <v>8464670</v>
      </c>
      <c r="F134" s="10">
        <v>12301780</v>
      </c>
      <c r="G134" s="10">
        <v>19739452</v>
      </c>
    </row>
    <row r="135" spans="1:7" x14ac:dyDescent="0.45">
      <c r="A135" s="9" t="s">
        <v>432</v>
      </c>
      <c r="B135" s="10">
        <v>1634717</v>
      </c>
      <c r="C135" s="10">
        <v>1763317</v>
      </c>
      <c r="D135" s="10">
        <v>1989049</v>
      </c>
      <c r="E135" s="10">
        <v>2257894</v>
      </c>
      <c r="F135" s="10">
        <v>3050992</v>
      </c>
      <c r="G135" s="10">
        <v>4495892</v>
      </c>
    </row>
    <row r="136" spans="1:7" x14ac:dyDescent="0.45">
      <c r="A136" s="9" t="s">
        <v>433</v>
      </c>
      <c r="B136" s="10">
        <v>1634717</v>
      </c>
      <c r="C136" s="10">
        <v>1763317</v>
      </c>
      <c r="D136" s="10">
        <v>1989049</v>
      </c>
      <c r="E136" s="10">
        <v>2257894</v>
      </c>
      <c r="F136" s="10">
        <v>3050992</v>
      </c>
      <c r="G136" s="10">
        <v>4495892</v>
      </c>
    </row>
    <row r="137" spans="1:7" x14ac:dyDescent="0.45">
      <c r="A137" s="9" t="s">
        <v>434</v>
      </c>
      <c r="B137" s="10">
        <v>4639116</v>
      </c>
      <c r="C137" s="10">
        <v>5338585</v>
      </c>
      <c r="D137" s="10">
        <v>6160244</v>
      </c>
      <c r="E137" s="10">
        <v>6206776</v>
      </c>
      <c r="F137" s="10">
        <v>9250788</v>
      </c>
      <c r="G137" s="10">
        <v>15243560</v>
      </c>
    </row>
    <row r="138" spans="1:7" x14ac:dyDescent="0.45">
      <c r="A138" s="9" t="s">
        <v>435</v>
      </c>
      <c r="B138" s="10">
        <v>3212138</v>
      </c>
      <c r="C138" s="10">
        <v>3821704</v>
      </c>
      <c r="D138" s="10">
        <v>4604409</v>
      </c>
      <c r="E138" s="10">
        <v>4468571</v>
      </c>
      <c r="F138" s="10">
        <v>6741250</v>
      </c>
      <c r="G138" s="10">
        <v>11582882</v>
      </c>
    </row>
    <row r="139" spans="1:7" x14ac:dyDescent="0.45">
      <c r="A139" s="9" t="s">
        <v>436</v>
      </c>
      <c r="B139" s="10">
        <v>774130</v>
      </c>
      <c r="C139" s="10">
        <v>792854</v>
      </c>
      <c r="D139" s="10">
        <v>796005</v>
      </c>
      <c r="E139" s="10">
        <v>878426</v>
      </c>
      <c r="F139" s="10">
        <v>1450496</v>
      </c>
      <c r="G139" s="10">
        <v>1998978</v>
      </c>
    </row>
    <row r="140" spans="1:7" x14ac:dyDescent="0.45">
      <c r="A140" s="9" t="s">
        <v>437</v>
      </c>
      <c r="B140" s="10">
        <v>356732</v>
      </c>
      <c r="C140" s="10">
        <v>383556</v>
      </c>
      <c r="D140" s="10">
        <v>433999</v>
      </c>
      <c r="E140" s="10">
        <v>491622</v>
      </c>
      <c r="F140" s="10">
        <v>575984</v>
      </c>
      <c r="G140" s="10">
        <v>1024279</v>
      </c>
    </row>
    <row r="141" spans="1:7" x14ac:dyDescent="0.45">
      <c r="A141" s="9" t="s">
        <v>438</v>
      </c>
      <c r="B141" s="10">
        <v>296116</v>
      </c>
      <c r="C141" s="10">
        <v>340471</v>
      </c>
      <c r="D141" s="10">
        <v>325831</v>
      </c>
      <c r="E141" s="10">
        <v>368157</v>
      </c>
      <c r="F141" s="10">
        <v>483058</v>
      </c>
      <c r="G141" s="10">
        <v>637421</v>
      </c>
    </row>
    <row r="142" spans="1:7" x14ac:dyDescent="0.45">
      <c r="A142" s="9" t="s">
        <v>439</v>
      </c>
      <c r="B142" s="10">
        <v>28816663</v>
      </c>
      <c r="C142" s="10">
        <v>31388188</v>
      </c>
      <c r="D142" s="10">
        <v>37194181</v>
      </c>
      <c r="E142" s="10">
        <v>33138284</v>
      </c>
      <c r="F142" s="10">
        <v>34596205</v>
      </c>
      <c r="G142" s="10">
        <v>39386931</v>
      </c>
    </row>
    <row r="143" spans="1:7" x14ac:dyDescent="0.45">
      <c r="A143" s="9" t="s">
        <v>440</v>
      </c>
      <c r="B143" s="10">
        <v>11635975</v>
      </c>
      <c r="C143" s="10">
        <v>13113751</v>
      </c>
      <c r="D143" s="10">
        <v>23201177</v>
      </c>
      <c r="E143" s="10">
        <v>13449989</v>
      </c>
      <c r="F143" s="10">
        <v>14395293</v>
      </c>
      <c r="G143" s="10">
        <v>18442506</v>
      </c>
    </row>
    <row r="144" spans="1:7" x14ac:dyDescent="0.45">
      <c r="A144" s="9" t="s">
        <v>441</v>
      </c>
      <c r="B144" s="10">
        <v>11635975</v>
      </c>
      <c r="C144" s="10">
        <v>13113751</v>
      </c>
      <c r="D144" s="10">
        <v>23201177</v>
      </c>
      <c r="E144" s="10">
        <v>13449989</v>
      </c>
      <c r="F144" s="10">
        <v>14395293</v>
      </c>
      <c r="G144" s="10">
        <v>18442506</v>
      </c>
    </row>
    <row r="145" spans="1:7" x14ac:dyDescent="0.45">
      <c r="A145" s="9" t="s">
        <v>442</v>
      </c>
      <c r="B145" s="10">
        <v>6999495</v>
      </c>
      <c r="C145" s="10">
        <v>8340242</v>
      </c>
      <c r="D145" s="10">
        <v>4543067</v>
      </c>
      <c r="E145" s="10">
        <v>9051289</v>
      </c>
      <c r="F145" s="10">
        <v>8266622</v>
      </c>
      <c r="G145" s="10">
        <v>7782779</v>
      </c>
    </row>
    <row r="146" spans="1:7" x14ac:dyDescent="0.45">
      <c r="A146" s="9" t="s">
        <v>443</v>
      </c>
      <c r="B146" s="10">
        <v>3499230</v>
      </c>
      <c r="C146" s="10">
        <v>3701777</v>
      </c>
      <c r="D146" s="10">
        <v>3833164</v>
      </c>
      <c r="E146" s="10">
        <v>4967916</v>
      </c>
      <c r="F146" s="10">
        <v>7495381</v>
      </c>
      <c r="G146" s="10">
        <v>6597659</v>
      </c>
    </row>
    <row r="147" spans="1:7" x14ac:dyDescent="0.45">
      <c r="A147" s="9" t="s">
        <v>444</v>
      </c>
      <c r="B147" s="10">
        <v>3500265</v>
      </c>
      <c r="C147" s="10">
        <v>4638465</v>
      </c>
      <c r="D147" s="10">
        <v>709903</v>
      </c>
      <c r="E147" s="10">
        <v>4083373</v>
      </c>
      <c r="F147" s="10">
        <v>771241</v>
      </c>
      <c r="G147" s="10">
        <v>1185120</v>
      </c>
    </row>
    <row r="148" spans="1:7" x14ac:dyDescent="0.45">
      <c r="A148" s="9" t="s">
        <v>445</v>
      </c>
      <c r="B148" s="10">
        <v>5442387</v>
      </c>
      <c r="C148" s="10">
        <v>4777645</v>
      </c>
      <c r="D148" s="10">
        <v>4822958</v>
      </c>
      <c r="E148" s="10">
        <v>5039905</v>
      </c>
      <c r="F148" s="10">
        <v>6121681</v>
      </c>
      <c r="G148" s="10">
        <v>8238126</v>
      </c>
    </row>
    <row r="149" spans="1:7" x14ac:dyDescent="0.45">
      <c r="A149" s="9" t="s">
        <v>446</v>
      </c>
      <c r="B149" s="10">
        <v>748358</v>
      </c>
      <c r="C149" s="10">
        <v>706684</v>
      </c>
      <c r="D149" s="10">
        <v>809402</v>
      </c>
      <c r="E149" s="10">
        <v>733743</v>
      </c>
      <c r="F149" s="10">
        <v>1169458</v>
      </c>
      <c r="G149" s="10">
        <v>1616741</v>
      </c>
    </row>
    <row r="150" spans="1:7" x14ac:dyDescent="0.45">
      <c r="A150" s="9" t="s">
        <v>447</v>
      </c>
      <c r="B150" s="10">
        <v>2847395</v>
      </c>
      <c r="C150" s="10">
        <v>2234328</v>
      </c>
      <c r="D150" s="10">
        <v>2008354</v>
      </c>
      <c r="E150" s="10">
        <v>2106556</v>
      </c>
      <c r="F150" s="10">
        <v>2291600</v>
      </c>
      <c r="G150" s="10">
        <v>2559985</v>
      </c>
    </row>
    <row r="151" spans="1:7" x14ac:dyDescent="0.45">
      <c r="A151" s="9" t="s">
        <v>448</v>
      </c>
      <c r="B151" s="10">
        <v>1846634</v>
      </c>
      <c r="C151" s="10">
        <v>1836633</v>
      </c>
      <c r="D151" s="10">
        <v>2005202</v>
      </c>
      <c r="E151" s="10">
        <v>2199606</v>
      </c>
      <c r="F151" s="10">
        <v>2660623</v>
      </c>
      <c r="G151" s="10">
        <v>4061400</v>
      </c>
    </row>
    <row r="152" spans="1:7" x14ac:dyDescent="0.45">
      <c r="A152" s="9" t="s">
        <v>449</v>
      </c>
      <c r="B152" s="10">
        <v>4738806</v>
      </c>
      <c r="C152" s="10">
        <v>5156550</v>
      </c>
      <c r="D152" s="10">
        <v>4626979</v>
      </c>
      <c r="E152" s="10">
        <v>5597101</v>
      </c>
      <c r="F152" s="10">
        <v>5812609</v>
      </c>
      <c r="G152" s="10">
        <v>4923520</v>
      </c>
    </row>
    <row r="153" spans="1:7" x14ac:dyDescent="0.45">
      <c r="A153" s="9" t="s">
        <v>450</v>
      </c>
      <c r="B153" s="10">
        <v>930948</v>
      </c>
      <c r="C153" s="10">
        <v>1113206</v>
      </c>
      <c r="D153" s="10">
        <v>1228879</v>
      </c>
      <c r="E153" s="10">
        <v>1176197</v>
      </c>
      <c r="F153" s="10">
        <v>818701</v>
      </c>
      <c r="G153" s="10">
        <v>955696</v>
      </c>
    </row>
    <row r="154" spans="1:7" x14ac:dyDescent="0.45">
      <c r="A154" s="9" t="s">
        <v>451</v>
      </c>
      <c r="B154" s="10">
        <v>3377257</v>
      </c>
      <c r="C154" s="10">
        <v>3582945</v>
      </c>
      <c r="D154" s="10">
        <v>2862446</v>
      </c>
      <c r="E154" s="10">
        <v>3840112</v>
      </c>
      <c r="F154" s="10">
        <v>4318568</v>
      </c>
      <c r="G154" s="10">
        <v>3203198</v>
      </c>
    </row>
    <row r="155" spans="1:7" x14ac:dyDescent="0.45">
      <c r="A155" s="9" t="s">
        <v>452</v>
      </c>
      <c r="B155" s="10">
        <v>430601</v>
      </c>
      <c r="C155" s="10">
        <v>460399</v>
      </c>
      <c r="D155" s="10">
        <v>535654</v>
      </c>
      <c r="E155" s="10">
        <v>580792</v>
      </c>
      <c r="F155" s="10">
        <v>675340</v>
      </c>
      <c r="G155" s="10">
        <v>764626</v>
      </c>
    </row>
    <row r="156" spans="1:7" x14ac:dyDescent="0.45">
      <c r="A156" s="9" t="s">
        <v>453</v>
      </c>
      <c r="B156" s="10">
        <v>4257695</v>
      </c>
      <c r="C156" s="10">
        <v>4058003</v>
      </c>
      <c r="D156" s="10">
        <v>4347885</v>
      </c>
      <c r="E156" s="10">
        <v>4559407</v>
      </c>
      <c r="F156" s="10">
        <v>3893279</v>
      </c>
      <c r="G156" s="10">
        <v>4639586</v>
      </c>
    </row>
    <row r="157" spans="1:7" x14ac:dyDescent="0.45">
      <c r="A157" s="9" t="s">
        <v>454</v>
      </c>
      <c r="B157" s="10">
        <v>3458440</v>
      </c>
      <c r="C157" s="10">
        <v>3175865</v>
      </c>
      <c r="D157" s="10">
        <v>3283156</v>
      </c>
      <c r="E157" s="10">
        <v>3459607</v>
      </c>
      <c r="F157" s="10">
        <v>2939889</v>
      </c>
      <c r="G157" s="10">
        <v>3926874</v>
      </c>
    </row>
    <row r="158" spans="1:7" x14ac:dyDescent="0.45">
      <c r="A158" s="9" t="s">
        <v>455</v>
      </c>
      <c r="B158" s="10">
        <v>964314</v>
      </c>
      <c r="C158" s="10">
        <v>886117</v>
      </c>
      <c r="D158" s="10">
        <v>924081</v>
      </c>
      <c r="E158" s="10">
        <v>902835</v>
      </c>
      <c r="F158" s="10">
        <v>672259</v>
      </c>
      <c r="G158" s="10">
        <v>792770</v>
      </c>
    </row>
    <row r="159" spans="1:7" x14ac:dyDescent="0.45">
      <c r="A159" s="9" t="s">
        <v>456</v>
      </c>
      <c r="B159" s="10">
        <v>1256972</v>
      </c>
      <c r="C159" s="10">
        <v>909710</v>
      </c>
      <c r="D159" s="10">
        <v>1028385</v>
      </c>
      <c r="E159" s="10">
        <v>1208582</v>
      </c>
      <c r="F159" s="10">
        <v>1044135</v>
      </c>
      <c r="G159" s="10">
        <v>1844541</v>
      </c>
    </row>
    <row r="160" spans="1:7" x14ac:dyDescent="0.45">
      <c r="A160" s="9" t="s">
        <v>457</v>
      </c>
      <c r="B160" s="10">
        <v>1237154</v>
      </c>
      <c r="C160" s="10">
        <v>1380038</v>
      </c>
      <c r="D160" s="10">
        <v>1330690</v>
      </c>
      <c r="E160" s="10">
        <v>1348190</v>
      </c>
      <c r="F160" s="10">
        <v>1223495</v>
      </c>
      <c r="G160" s="10">
        <v>1289563</v>
      </c>
    </row>
    <row r="161" spans="1:7" x14ac:dyDescent="0.45">
      <c r="A161" s="9" t="s">
        <v>458</v>
      </c>
      <c r="B161" s="10">
        <v>671434</v>
      </c>
      <c r="C161" s="10">
        <v>756885</v>
      </c>
      <c r="D161" s="10">
        <v>772833</v>
      </c>
      <c r="E161" s="10">
        <v>877385</v>
      </c>
      <c r="F161" s="10">
        <v>686708</v>
      </c>
      <c r="G161" s="10">
        <v>517266</v>
      </c>
    </row>
    <row r="162" spans="1:7" x14ac:dyDescent="0.45">
      <c r="A162" s="9" t="s">
        <v>459</v>
      </c>
      <c r="B162" s="10">
        <v>564410</v>
      </c>
      <c r="C162" s="10">
        <v>607415</v>
      </c>
      <c r="D162" s="10">
        <v>651442</v>
      </c>
      <c r="E162" s="10">
        <v>737193</v>
      </c>
      <c r="F162" s="10">
        <v>557118</v>
      </c>
      <c r="G162" s="10">
        <v>316085</v>
      </c>
    </row>
    <row r="163" spans="1:7" x14ac:dyDescent="0.45">
      <c r="A163" s="9" t="s">
        <v>460</v>
      </c>
      <c r="B163" s="10">
        <v>107024</v>
      </c>
      <c r="C163" s="10">
        <v>149470</v>
      </c>
      <c r="D163" s="10">
        <v>121391</v>
      </c>
      <c r="E163" s="10">
        <v>140192</v>
      </c>
      <c r="F163" s="10">
        <v>129590</v>
      </c>
      <c r="G163" s="10">
        <v>201181</v>
      </c>
    </row>
    <row r="164" spans="1:7" x14ac:dyDescent="0.45">
      <c r="A164" s="9" t="s">
        <v>461</v>
      </c>
      <c r="B164" s="10">
        <v>127821</v>
      </c>
      <c r="C164" s="10">
        <v>125253</v>
      </c>
      <c r="D164" s="10">
        <v>291896</v>
      </c>
      <c r="E164" s="10">
        <v>222415</v>
      </c>
      <c r="F164" s="10">
        <v>266682</v>
      </c>
      <c r="G164" s="10">
        <v>195446</v>
      </c>
    </row>
    <row r="165" spans="1:7" x14ac:dyDescent="0.45">
      <c r="A165" s="9" t="s">
        <v>462</v>
      </c>
      <c r="B165" s="10">
        <v>127821</v>
      </c>
      <c r="C165" s="10">
        <v>125253</v>
      </c>
      <c r="D165" s="10">
        <v>291896</v>
      </c>
      <c r="E165" s="10">
        <v>222415</v>
      </c>
      <c r="F165" s="10">
        <v>266682</v>
      </c>
      <c r="G165" s="10">
        <v>195446</v>
      </c>
    </row>
    <row r="166" spans="1:7" x14ac:dyDescent="0.45">
      <c r="A166" s="9" t="s">
        <v>463</v>
      </c>
      <c r="B166" s="10">
        <v>96221303</v>
      </c>
      <c r="C166" s="10">
        <v>76356416</v>
      </c>
      <c r="D166" s="10">
        <v>111857619</v>
      </c>
      <c r="E166" s="10">
        <v>164678277</v>
      </c>
      <c r="F166" s="10">
        <v>183914613</v>
      </c>
      <c r="G166" s="10">
        <v>325666972</v>
      </c>
    </row>
    <row r="167" spans="1:7" x14ac:dyDescent="0.45">
      <c r="A167" s="9" t="s">
        <v>464</v>
      </c>
      <c r="B167" s="10">
        <v>104247</v>
      </c>
      <c r="C167" s="10" t="s">
        <v>34</v>
      </c>
      <c r="D167" s="10">
        <v>89079</v>
      </c>
      <c r="E167" s="10">
        <v>87249</v>
      </c>
      <c r="F167" s="10">
        <v>80112</v>
      </c>
      <c r="G167" s="10" t="s">
        <v>34</v>
      </c>
    </row>
    <row r="168" spans="1:7" x14ac:dyDescent="0.45">
      <c r="A168" s="9" t="s">
        <v>465</v>
      </c>
      <c r="B168" s="10">
        <v>104247</v>
      </c>
      <c r="C168" s="10" t="s">
        <v>34</v>
      </c>
      <c r="D168" s="10">
        <v>89079</v>
      </c>
      <c r="E168" s="10">
        <v>87249</v>
      </c>
      <c r="F168" s="10">
        <v>80112</v>
      </c>
      <c r="G168" s="10" t="s">
        <v>34</v>
      </c>
    </row>
    <row r="169" spans="1:7" x14ac:dyDescent="0.45">
      <c r="A169" s="9" t="s">
        <v>466</v>
      </c>
      <c r="B169" s="10">
        <v>82560835</v>
      </c>
      <c r="C169" s="10" t="s">
        <v>34</v>
      </c>
      <c r="D169" s="10">
        <v>90608002</v>
      </c>
      <c r="E169" s="10">
        <v>134088743</v>
      </c>
      <c r="F169" s="10">
        <v>161586464</v>
      </c>
      <c r="G169" s="10" t="s">
        <v>34</v>
      </c>
    </row>
    <row r="170" spans="1:7" x14ac:dyDescent="0.45">
      <c r="A170" s="9" t="s">
        <v>467</v>
      </c>
      <c r="B170" s="10">
        <v>81433282</v>
      </c>
      <c r="C170" s="10" t="s">
        <v>34</v>
      </c>
      <c r="D170" s="10">
        <v>89017342</v>
      </c>
      <c r="E170" s="10">
        <v>132360027</v>
      </c>
      <c r="F170" s="10">
        <v>158894295</v>
      </c>
      <c r="G170" s="10" t="s">
        <v>34</v>
      </c>
    </row>
    <row r="171" spans="1:7" x14ac:dyDescent="0.45">
      <c r="A171" s="9" t="s">
        <v>468</v>
      </c>
      <c r="B171" s="10">
        <v>1127553</v>
      </c>
      <c r="C171" s="10">
        <v>1521548</v>
      </c>
      <c r="D171" s="10">
        <v>1590660</v>
      </c>
      <c r="E171" s="10">
        <v>1728716</v>
      </c>
      <c r="F171" s="10">
        <v>2692169</v>
      </c>
      <c r="G171" s="10">
        <v>5282078</v>
      </c>
    </row>
    <row r="172" spans="1:7" x14ac:dyDescent="0.45">
      <c r="A172" s="9" t="s">
        <v>469</v>
      </c>
      <c r="B172" s="10">
        <v>13556221</v>
      </c>
      <c r="C172" s="10">
        <v>13582681</v>
      </c>
      <c r="D172" s="10">
        <v>21160538</v>
      </c>
      <c r="E172" s="10">
        <v>30502285</v>
      </c>
      <c r="F172" s="10">
        <v>22248037</v>
      </c>
      <c r="G172" s="10">
        <v>39517568</v>
      </c>
    </row>
    <row r="173" spans="1:7" x14ac:dyDescent="0.45">
      <c r="A173" s="9" t="s">
        <v>470</v>
      </c>
      <c r="B173" s="10">
        <v>13480510</v>
      </c>
      <c r="C173" s="10">
        <v>13424208</v>
      </c>
      <c r="D173" s="10">
        <v>20574754</v>
      </c>
      <c r="E173" s="10">
        <v>30142347</v>
      </c>
      <c r="F173" s="10">
        <v>20307677</v>
      </c>
      <c r="G173" s="10">
        <v>37427409</v>
      </c>
    </row>
    <row r="174" spans="1:7" x14ac:dyDescent="0.45">
      <c r="A174" s="9" t="s">
        <v>471</v>
      </c>
      <c r="B174" s="10">
        <v>75711</v>
      </c>
      <c r="C174" s="10">
        <v>158473</v>
      </c>
      <c r="D174" s="10">
        <v>585784</v>
      </c>
      <c r="E174" s="10">
        <v>359938</v>
      </c>
      <c r="F174" s="10">
        <v>1940360</v>
      </c>
      <c r="G174" s="10">
        <v>2090159</v>
      </c>
    </row>
    <row r="175" spans="1:7" s="1" customFormat="1" x14ac:dyDescent="0.45">
      <c r="A175" s="289" t="s">
        <v>191</v>
      </c>
      <c r="B175" s="276">
        <v>59163736</v>
      </c>
      <c r="C175" s="276">
        <v>60327429</v>
      </c>
      <c r="D175" s="276">
        <v>64772208</v>
      </c>
      <c r="E175" s="276">
        <v>66691159</v>
      </c>
      <c r="F175" s="276">
        <v>84676282</v>
      </c>
      <c r="G175" s="276">
        <v>124055577</v>
      </c>
    </row>
    <row r="176" spans="1:7" x14ac:dyDescent="0.45">
      <c r="A176" s="9" t="s">
        <v>472</v>
      </c>
      <c r="B176" s="10">
        <v>14172801</v>
      </c>
      <c r="C176" s="10">
        <v>13896014</v>
      </c>
      <c r="D176" s="10">
        <v>16405270</v>
      </c>
      <c r="E176" s="10">
        <v>14591224</v>
      </c>
      <c r="F176" s="10">
        <v>22037712</v>
      </c>
      <c r="G176" s="10">
        <v>35034472</v>
      </c>
    </row>
    <row r="177" spans="1:7" x14ac:dyDescent="0.45">
      <c r="A177" s="9" t="s">
        <v>473</v>
      </c>
      <c r="B177" s="10">
        <v>565259</v>
      </c>
      <c r="C177" s="10">
        <v>685106</v>
      </c>
      <c r="D177" s="10">
        <v>836083</v>
      </c>
      <c r="E177" s="10">
        <v>650953</v>
      </c>
      <c r="F177" s="10">
        <v>833429</v>
      </c>
      <c r="G177" s="10">
        <v>1181014</v>
      </c>
    </row>
    <row r="178" spans="1:7" x14ac:dyDescent="0.45">
      <c r="A178" s="9" t="s">
        <v>192</v>
      </c>
      <c r="B178" s="10">
        <v>2298522</v>
      </c>
      <c r="C178" s="10">
        <v>1880310</v>
      </c>
      <c r="D178" s="10">
        <v>2459502</v>
      </c>
      <c r="E178" s="10">
        <v>2378303</v>
      </c>
      <c r="F178" s="10">
        <v>5199651</v>
      </c>
      <c r="G178" s="10">
        <v>10287920</v>
      </c>
    </row>
    <row r="179" spans="1:7" x14ac:dyDescent="0.45">
      <c r="A179" s="9" t="s">
        <v>193</v>
      </c>
      <c r="B179" s="10">
        <v>6807185</v>
      </c>
      <c r="C179" s="10">
        <v>6336546</v>
      </c>
      <c r="D179" s="10">
        <v>7699646</v>
      </c>
      <c r="E179" s="10">
        <v>6604679</v>
      </c>
      <c r="F179" s="10">
        <v>10225274</v>
      </c>
      <c r="G179" s="10">
        <v>16477989</v>
      </c>
    </row>
    <row r="180" spans="1:7" x14ac:dyDescent="0.45">
      <c r="A180" s="9" t="s">
        <v>474</v>
      </c>
      <c r="B180" s="10">
        <v>2473118</v>
      </c>
      <c r="C180" s="10">
        <v>2303423</v>
      </c>
      <c r="D180" s="10">
        <v>2531452</v>
      </c>
      <c r="E180" s="10">
        <v>2721510</v>
      </c>
      <c r="F180" s="10">
        <v>2916639</v>
      </c>
      <c r="G180" s="10">
        <v>3301587</v>
      </c>
    </row>
    <row r="181" spans="1:7" x14ac:dyDescent="0.45">
      <c r="A181" s="9" t="s">
        <v>475</v>
      </c>
      <c r="B181" s="10">
        <v>2028717</v>
      </c>
      <c r="C181" s="10">
        <v>2690629</v>
      </c>
      <c r="D181" s="10">
        <v>2878587</v>
      </c>
      <c r="E181" s="10">
        <v>2235779</v>
      </c>
      <c r="F181" s="10">
        <v>2862719</v>
      </c>
      <c r="G181" s="10">
        <v>3785962</v>
      </c>
    </row>
    <row r="182" spans="1:7" x14ac:dyDescent="0.45">
      <c r="A182" s="9" t="s">
        <v>476</v>
      </c>
      <c r="B182" s="10">
        <v>14217187</v>
      </c>
      <c r="C182" s="10">
        <v>14301943</v>
      </c>
      <c r="D182" s="10">
        <v>6267198</v>
      </c>
      <c r="E182" s="10">
        <v>6086886</v>
      </c>
      <c r="F182" s="10">
        <v>7554310</v>
      </c>
      <c r="G182" s="10">
        <v>14091179</v>
      </c>
    </row>
    <row r="183" spans="1:7" x14ac:dyDescent="0.45">
      <c r="A183" s="9" t="s">
        <v>477</v>
      </c>
      <c r="B183" s="10">
        <v>9672299</v>
      </c>
      <c r="C183" s="10">
        <v>9386827</v>
      </c>
      <c r="D183" s="10" t="s">
        <v>34</v>
      </c>
      <c r="E183" s="10" t="s">
        <v>34</v>
      </c>
      <c r="F183" s="10" t="s">
        <v>34</v>
      </c>
      <c r="G183" s="10" t="s">
        <v>34</v>
      </c>
    </row>
    <row r="184" spans="1:7" x14ac:dyDescent="0.45">
      <c r="A184" s="9" t="s">
        <v>478</v>
      </c>
      <c r="B184" s="10">
        <v>644030</v>
      </c>
      <c r="C184" s="10">
        <v>1229184</v>
      </c>
      <c r="D184" s="10" t="s">
        <v>34</v>
      </c>
      <c r="E184" s="10" t="s">
        <v>34</v>
      </c>
      <c r="F184" s="10" t="s">
        <v>34</v>
      </c>
      <c r="G184" s="10" t="s">
        <v>34</v>
      </c>
    </row>
    <row r="185" spans="1:7" x14ac:dyDescent="0.45">
      <c r="A185" s="9" t="s">
        <v>479</v>
      </c>
      <c r="B185" s="10">
        <v>3900858</v>
      </c>
      <c r="C185" s="10">
        <v>3685932</v>
      </c>
      <c r="D185" s="10">
        <v>4162516</v>
      </c>
      <c r="E185" s="10">
        <v>4350422</v>
      </c>
      <c r="F185" s="10">
        <v>6321181</v>
      </c>
      <c r="G185" s="10">
        <v>10577461</v>
      </c>
    </row>
    <row r="186" spans="1:7" x14ac:dyDescent="0.45">
      <c r="A186" s="9" t="s">
        <v>480</v>
      </c>
      <c r="B186" s="10">
        <v>3029358</v>
      </c>
      <c r="C186" s="10">
        <v>4218755</v>
      </c>
      <c r="D186" s="10">
        <v>11622988</v>
      </c>
      <c r="E186" s="10">
        <v>9329682</v>
      </c>
      <c r="F186" s="10">
        <v>13612841</v>
      </c>
      <c r="G186" s="10">
        <v>25688971</v>
      </c>
    </row>
    <row r="187" spans="1:7" x14ac:dyDescent="0.45">
      <c r="A187" s="9" t="s">
        <v>481</v>
      </c>
      <c r="B187" s="10">
        <v>1811750</v>
      </c>
      <c r="C187" s="10">
        <v>3092581</v>
      </c>
      <c r="D187" s="10">
        <v>9759057</v>
      </c>
      <c r="E187" s="10">
        <v>8013117</v>
      </c>
      <c r="F187" s="10">
        <v>11722759</v>
      </c>
      <c r="G187" s="10">
        <v>22723267</v>
      </c>
    </row>
    <row r="188" spans="1:7" x14ac:dyDescent="0.45">
      <c r="A188" s="9" t="s">
        <v>482</v>
      </c>
      <c r="B188" s="10">
        <v>748025</v>
      </c>
      <c r="C188" s="10">
        <v>685560</v>
      </c>
      <c r="D188" s="10">
        <v>1217898</v>
      </c>
      <c r="E188" s="10">
        <v>1063529</v>
      </c>
      <c r="F188" s="10">
        <v>1615556</v>
      </c>
      <c r="G188" s="10">
        <v>2395279</v>
      </c>
    </row>
    <row r="189" spans="1:7" x14ac:dyDescent="0.45">
      <c r="A189" s="9" t="s">
        <v>483</v>
      </c>
      <c r="B189" s="10">
        <v>469583</v>
      </c>
      <c r="C189" s="10">
        <v>440614</v>
      </c>
      <c r="D189" s="10">
        <v>646033</v>
      </c>
      <c r="E189" s="10">
        <v>253036</v>
      </c>
      <c r="F189" s="10">
        <v>274526</v>
      </c>
      <c r="G189" s="10">
        <v>570425</v>
      </c>
    </row>
    <row r="190" spans="1:7" x14ac:dyDescent="0.45">
      <c r="A190" s="9" t="s">
        <v>484</v>
      </c>
      <c r="B190" s="10">
        <v>196488</v>
      </c>
      <c r="C190" s="10">
        <v>411596</v>
      </c>
      <c r="D190" s="10">
        <v>422914</v>
      </c>
      <c r="E190" s="10">
        <v>438461</v>
      </c>
      <c r="F190" s="10">
        <v>784164</v>
      </c>
      <c r="G190" s="10">
        <v>1981027</v>
      </c>
    </row>
    <row r="191" spans="1:7" x14ac:dyDescent="0.45">
      <c r="A191" s="9" t="s">
        <v>485</v>
      </c>
      <c r="B191" s="10">
        <v>196488</v>
      </c>
      <c r="C191" s="10">
        <v>411596</v>
      </c>
      <c r="D191" s="10">
        <v>422914</v>
      </c>
      <c r="E191" s="10">
        <v>438461</v>
      </c>
      <c r="F191" s="10">
        <v>784164</v>
      </c>
      <c r="G191" s="10">
        <v>1981027</v>
      </c>
    </row>
    <row r="192" spans="1:7" x14ac:dyDescent="0.45">
      <c r="A192" s="9" t="s">
        <v>486</v>
      </c>
      <c r="B192" s="10">
        <v>8638671</v>
      </c>
      <c r="C192" s="10">
        <v>8468951</v>
      </c>
      <c r="D192" s="10">
        <v>11329198</v>
      </c>
      <c r="E192" s="10">
        <v>14392183</v>
      </c>
      <c r="F192" s="10">
        <v>15148747</v>
      </c>
      <c r="G192" s="10">
        <v>18139683</v>
      </c>
    </row>
    <row r="193" spans="1:7" x14ac:dyDescent="0.45">
      <c r="A193" s="9" t="s">
        <v>487</v>
      </c>
      <c r="B193" s="10">
        <v>8409333</v>
      </c>
      <c r="C193" s="10">
        <v>8236496</v>
      </c>
      <c r="D193" s="10">
        <v>11149995</v>
      </c>
      <c r="E193" s="10">
        <v>14231227</v>
      </c>
      <c r="F193" s="10">
        <v>10263188</v>
      </c>
      <c r="G193" s="10">
        <v>12540239</v>
      </c>
    </row>
    <row r="194" spans="1:7" x14ac:dyDescent="0.45">
      <c r="A194" s="9" t="s">
        <v>488</v>
      </c>
      <c r="B194" s="10">
        <v>229338</v>
      </c>
      <c r="C194" s="10">
        <v>232455</v>
      </c>
      <c r="D194" s="10">
        <v>179203</v>
      </c>
      <c r="E194" s="10">
        <v>160956</v>
      </c>
      <c r="F194" s="10">
        <v>4885559</v>
      </c>
      <c r="G194" s="10">
        <v>5599444</v>
      </c>
    </row>
    <row r="195" spans="1:7" x14ac:dyDescent="0.45">
      <c r="A195" s="9" t="s">
        <v>489</v>
      </c>
      <c r="B195" s="10">
        <v>9712746</v>
      </c>
      <c r="C195" s="10">
        <v>10482770</v>
      </c>
      <c r="D195" s="10">
        <v>10110768</v>
      </c>
      <c r="E195" s="10">
        <v>12278983</v>
      </c>
      <c r="F195" s="10">
        <v>13007851</v>
      </c>
      <c r="G195" s="10">
        <v>13544912</v>
      </c>
    </row>
    <row r="196" spans="1:7" x14ac:dyDescent="0.45">
      <c r="A196" s="9" t="s">
        <v>490</v>
      </c>
      <c r="B196" s="10">
        <v>3161185</v>
      </c>
      <c r="C196" s="10">
        <v>3234555</v>
      </c>
      <c r="D196" s="10">
        <v>3790402</v>
      </c>
      <c r="E196" s="10">
        <v>3655358</v>
      </c>
      <c r="F196" s="10">
        <v>3371451</v>
      </c>
      <c r="G196" s="10">
        <v>3710519</v>
      </c>
    </row>
    <row r="197" spans="1:7" x14ac:dyDescent="0.45">
      <c r="A197" s="9" t="s">
        <v>491</v>
      </c>
      <c r="B197" s="10">
        <v>922108</v>
      </c>
      <c r="C197" s="10">
        <v>905229</v>
      </c>
      <c r="D197" s="10">
        <v>979237</v>
      </c>
      <c r="E197" s="10">
        <v>1198370</v>
      </c>
      <c r="F197" s="10">
        <v>2317748</v>
      </c>
      <c r="G197" s="10">
        <v>1405733</v>
      </c>
    </row>
    <row r="198" spans="1:7" x14ac:dyDescent="0.45">
      <c r="A198" s="9" t="s">
        <v>492</v>
      </c>
      <c r="B198" s="10">
        <v>5629453</v>
      </c>
      <c r="C198" s="10">
        <v>6342986</v>
      </c>
      <c r="D198" s="10">
        <v>5341129</v>
      </c>
      <c r="E198" s="10">
        <v>7425255</v>
      </c>
      <c r="F198" s="10">
        <v>7318652</v>
      </c>
      <c r="G198" s="10">
        <v>8428660</v>
      </c>
    </row>
    <row r="199" spans="1:7" x14ac:dyDescent="0.45">
      <c r="A199" s="9" t="s">
        <v>493</v>
      </c>
      <c r="B199" s="10">
        <v>3642098</v>
      </c>
      <c r="C199" s="10">
        <v>3202741</v>
      </c>
      <c r="D199" s="10">
        <v>3189157</v>
      </c>
      <c r="E199" s="10">
        <v>3588552</v>
      </c>
      <c r="F199" s="10">
        <v>4760183</v>
      </c>
      <c r="G199" s="10">
        <v>5857636</v>
      </c>
    </row>
    <row r="200" spans="1:7" x14ac:dyDescent="0.45">
      <c r="A200" s="9" t="s">
        <v>494</v>
      </c>
      <c r="B200" s="10">
        <v>2261485</v>
      </c>
      <c r="C200" s="10">
        <v>2592772</v>
      </c>
      <c r="D200" s="10">
        <v>2551439</v>
      </c>
      <c r="E200" s="10">
        <v>2784447</v>
      </c>
      <c r="F200" s="10">
        <v>3698244</v>
      </c>
      <c r="G200" s="10">
        <v>4671066</v>
      </c>
    </row>
    <row r="201" spans="1:7" x14ac:dyDescent="0.45">
      <c r="A201" s="9" t="s">
        <v>495</v>
      </c>
      <c r="B201" s="10">
        <v>1095070</v>
      </c>
      <c r="C201" s="10">
        <v>245194</v>
      </c>
      <c r="D201" s="10">
        <v>275272</v>
      </c>
      <c r="E201" s="10">
        <v>244010</v>
      </c>
      <c r="F201" s="10">
        <v>336530</v>
      </c>
      <c r="G201" s="10">
        <v>357312</v>
      </c>
    </row>
    <row r="202" spans="1:7" x14ac:dyDescent="0.45">
      <c r="A202" s="9" t="s">
        <v>496</v>
      </c>
      <c r="B202" s="10">
        <v>285543</v>
      </c>
      <c r="C202" s="10">
        <v>364775</v>
      </c>
      <c r="D202" s="10">
        <v>362446</v>
      </c>
      <c r="E202" s="10">
        <v>560095</v>
      </c>
      <c r="F202" s="10">
        <v>725409</v>
      </c>
      <c r="G202" s="10">
        <v>829258</v>
      </c>
    </row>
    <row r="203" spans="1:7" x14ac:dyDescent="0.45">
      <c r="A203" s="9" t="s">
        <v>497</v>
      </c>
      <c r="B203" s="10">
        <v>5554387</v>
      </c>
      <c r="C203" s="10">
        <v>5344659</v>
      </c>
      <c r="D203" s="10">
        <v>5424715</v>
      </c>
      <c r="E203" s="10">
        <v>5985188</v>
      </c>
      <c r="F203" s="10">
        <v>7770474</v>
      </c>
      <c r="G203" s="10">
        <v>9717697</v>
      </c>
    </row>
    <row r="204" spans="1:7" x14ac:dyDescent="0.45">
      <c r="A204" s="9" t="s">
        <v>498</v>
      </c>
      <c r="B204" s="10" t="s">
        <v>34</v>
      </c>
      <c r="C204" s="10">
        <v>664521</v>
      </c>
      <c r="D204" s="10">
        <v>744055</v>
      </c>
      <c r="E204" s="10">
        <v>736425</v>
      </c>
      <c r="F204" s="10">
        <v>778935</v>
      </c>
      <c r="G204" s="10">
        <v>855954</v>
      </c>
    </row>
    <row r="205" spans="1:7" x14ac:dyDescent="0.45">
      <c r="A205" s="9" t="s">
        <v>499</v>
      </c>
      <c r="B205" s="10">
        <v>460492</v>
      </c>
      <c r="C205" s="10">
        <v>576078</v>
      </c>
      <c r="D205" s="10">
        <v>581767</v>
      </c>
      <c r="E205" s="10">
        <v>515631</v>
      </c>
      <c r="F205" s="10">
        <v>505995</v>
      </c>
      <c r="G205" s="10">
        <v>582286</v>
      </c>
    </row>
    <row r="206" spans="1:7" x14ac:dyDescent="0.45">
      <c r="A206" s="9" t="s">
        <v>500</v>
      </c>
      <c r="B206" s="10">
        <v>2805973</v>
      </c>
      <c r="C206" s="10">
        <v>2320599</v>
      </c>
      <c r="D206" s="10">
        <v>2406672</v>
      </c>
      <c r="E206" s="10">
        <v>2601734</v>
      </c>
      <c r="F206" s="10">
        <v>3938662</v>
      </c>
      <c r="G206" s="10">
        <v>4673101</v>
      </c>
    </row>
    <row r="207" spans="1:7" x14ac:dyDescent="0.45">
      <c r="A207" s="9" t="s">
        <v>501</v>
      </c>
      <c r="B207" s="10" t="s">
        <v>34</v>
      </c>
      <c r="C207" s="10">
        <v>277743</v>
      </c>
      <c r="D207" s="10">
        <v>267639</v>
      </c>
      <c r="E207" s="10">
        <v>286142</v>
      </c>
      <c r="F207" s="10">
        <v>381635</v>
      </c>
      <c r="G207" s="10">
        <v>539879</v>
      </c>
    </row>
    <row r="208" spans="1:7" x14ac:dyDescent="0.45">
      <c r="A208" s="9" t="s">
        <v>502</v>
      </c>
      <c r="B208" s="10">
        <v>1548959</v>
      </c>
      <c r="C208" s="10">
        <v>1505718</v>
      </c>
      <c r="D208" s="10">
        <v>1424582</v>
      </c>
      <c r="E208" s="10">
        <v>1845256</v>
      </c>
      <c r="F208" s="10">
        <v>2165247</v>
      </c>
      <c r="G208" s="10">
        <v>3066477</v>
      </c>
    </row>
    <row r="209" spans="1:7" x14ac:dyDescent="0.45">
      <c r="A209" s="9" t="s">
        <v>234</v>
      </c>
      <c r="B209" s="10">
        <v>20184305</v>
      </c>
      <c r="C209" s="10">
        <v>22324810</v>
      </c>
      <c r="D209" s="10">
        <v>24853634</v>
      </c>
      <c r="E209" s="10">
        <v>25144045</v>
      </c>
      <c r="F209" s="10">
        <v>30805007</v>
      </c>
      <c r="G209" s="10">
        <v>34748325</v>
      </c>
    </row>
    <row r="210" spans="1:7" x14ac:dyDescent="0.45">
      <c r="A210" s="9" t="s">
        <v>235</v>
      </c>
      <c r="B210" s="10">
        <v>156624</v>
      </c>
      <c r="C210" s="10">
        <v>222081</v>
      </c>
      <c r="D210" s="10">
        <v>385190</v>
      </c>
      <c r="E210" s="10">
        <v>484485</v>
      </c>
      <c r="F210" s="10">
        <v>761153</v>
      </c>
      <c r="G210" s="10">
        <v>975974</v>
      </c>
    </row>
    <row r="211" spans="1:7" x14ac:dyDescent="0.45">
      <c r="A211" s="9" t="s">
        <v>236</v>
      </c>
      <c r="B211" s="10">
        <v>156624</v>
      </c>
      <c r="C211" s="10">
        <v>222081</v>
      </c>
      <c r="D211" s="10">
        <v>385190</v>
      </c>
      <c r="E211" s="10">
        <v>484485</v>
      </c>
      <c r="F211" s="10">
        <v>761153</v>
      </c>
      <c r="G211" s="10">
        <v>975974</v>
      </c>
    </row>
    <row r="212" spans="1:7" x14ac:dyDescent="0.45">
      <c r="A212" s="9" t="s">
        <v>237</v>
      </c>
      <c r="B212" s="10">
        <v>20027681</v>
      </c>
      <c r="C212" s="10">
        <v>22102729</v>
      </c>
      <c r="D212" s="10">
        <v>24468444</v>
      </c>
      <c r="E212" s="10">
        <v>24659560</v>
      </c>
      <c r="F212" s="10">
        <v>30043854</v>
      </c>
      <c r="G212" s="10">
        <v>33772351</v>
      </c>
    </row>
    <row r="213" spans="1:7" x14ac:dyDescent="0.45">
      <c r="A213" s="9" t="s">
        <v>238</v>
      </c>
      <c r="B213" s="10">
        <v>18428643</v>
      </c>
      <c r="C213" s="10">
        <v>20503825</v>
      </c>
      <c r="D213" s="10">
        <v>22342421</v>
      </c>
      <c r="E213" s="10">
        <v>22777495</v>
      </c>
      <c r="F213" s="10">
        <v>27893100</v>
      </c>
      <c r="G213" s="10">
        <v>31189768</v>
      </c>
    </row>
    <row r="214" spans="1:7" x14ac:dyDescent="0.45">
      <c r="A214" s="9" t="s">
        <v>239</v>
      </c>
      <c r="B214" s="10">
        <v>1485664</v>
      </c>
      <c r="C214" s="10">
        <v>1474160</v>
      </c>
      <c r="D214" s="10">
        <v>1999154</v>
      </c>
      <c r="E214" s="10">
        <v>1720027</v>
      </c>
      <c r="F214" s="10">
        <v>1947793</v>
      </c>
      <c r="G214" s="10">
        <v>2373096</v>
      </c>
    </row>
    <row r="215" spans="1:7" x14ac:dyDescent="0.45">
      <c r="A215" s="9" t="s">
        <v>240</v>
      </c>
      <c r="B215" s="10">
        <v>113374</v>
      </c>
      <c r="C215" s="10">
        <v>124744</v>
      </c>
      <c r="D215" s="10">
        <v>126869</v>
      </c>
      <c r="E215" s="10">
        <v>162038</v>
      </c>
      <c r="F215" s="10">
        <v>202961</v>
      </c>
      <c r="G215" s="10">
        <v>209487</v>
      </c>
    </row>
    <row r="216" spans="1:7" x14ac:dyDescent="0.45">
      <c r="A216" s="9" t="s">
        <v>503</v>
      </c>
      <c r="B216" s="10">
        <v>24621974</v>
      </c>
      <c r="C216" s="10">
        <v>25811832</v>
      </c>
      <c r="D216" s="10">
        <v>24933238</v>
      </c>
      <c r="E216" s="10">
        <v>27060178</v>
      </c>
      <c r="F216" s="10">
        <v>33020740</v>
      </c>
      <c r="G216" s="10">
        <v>43603069</v>
      </c>
    </row>
    <row r="217" spans="1:7" x14ac:dyDescent="0.45">
      <c r="A217" s="9" t="s">
        <v>504</v>
      </c>
      <c r="B217" s="10">
        <v>7837442</v>
      </c>
      <c r="C217" s="10">
        <v>8405557</v>
      </c>
      <c r="D217" s="10">
        <v>7874259</v>
      </c>
      <c r="E217" s="10">
        <v>7996256</v>
      </c>
      <c r="F217" s="10">
        <v>8621401</v>
      </c>
      <c r="G217" s="10">
        <v>12080659</v>
      </c>
    </row>
    <row r="218" spans="1:7" x14ac:dyDescent="0.45">
      <c r="A218" s="9" t="s">
        <v>505</v>
      </c>
      <c r="B218" s="10">
        <v>5775411</v>
      </c>
      <c r="C218" s="10">
        <v>6078017</v>
      </c>
      <c r="D218" s="10">
        <v>5490002</v>
      </c>
      <c r="E218" s="10">
        <v>5510789</v>
      </c>
      <c r="F218" s="10">
        <v>6302115</v>
      </c>
      <c r="G218" s="10">
        <v>8530474</v>
      </c>
    </row>
    <row r="219" spans="1:7" x14ac:dyDescent="0.45">
      <c r="A219" s="9" t="s">
        <v>506</v>
      </c>
      <c r="B219" s="10">
        <v>425533</v>
      </c>
      <c r="C219" s="10">
        <v>506205</v>
      </c>
      <c r="D219" s="10">
        <v>492313</v>
      </c>
      <c r="E219" s="10">
        <v>460718</v>
      </c>
      <c r="F219" s="10">
        <v>434732</v>
      </c>
      <c r="G219" s="10">
        <v>563201</v>
      </c>
    </row>
    <row r="220" spans="1:7" x14ac:dyDescent="0.45">
      <c r="A220" s="9" t="s">
        <v>507</v>
      </c>
      <c r="B220" s="10">
        <v>1636498</v>
      </c>
      <c r="C220" s="10">
        <v>1821335</v>
      </c>
      <c r="D220" s="10">
        <v>1891944</v>
      </c>
      <c r="E220" s="10">
        <v>2024749</v>
      </c>
      <c r="F220" s="10">
        <v>1884554</v>
      </c>
      <c r="G220" s="10">
        <v>2986984</v>
      </c>
    </row>
    <row r="221" spans="1:7" x14ac:dyDescent="0.45">
      <c r="A221" s="9" t="s">
        <v>508</v>
      </c>
      <c r="B221" s="10">
        <v>16784532</v>
      </c>
      <c r="C221" s="10">
        <v>17406275</v>
      </c>
      <c r="D221" s="10">
        <v>17058979</v>
      </c>
      <c r="E221" s="10">
        <v>19063922</v>
      </c>
      <c r="F221" s="10">
        <v>24399339</v>
      </c>
      <c r="G221" s="10">
        <v>31522410</v>
      </c>
    </row>
    <row r="222" spans="1:7" x14ac:dyDescent="0.45">
      <c r="A222" s="9" t="s">
        <v>509</v>
      </c>
      <c r="B222" s="10">
        <v>3513016</v>
      </c>
      <c r="C222" s="10">
        <v>3637416</v>
      </c>
      <c r="D222" s="10">
        <v>3475951</v>
      </c>
      <c r="E222" s="10">
        <v>4202479</v>
      </c>
      <c r="F222" s="10">
        <v>6156817</v>
      </c>
      <c r="G222" s="10">
        <v>8245427</v>
      </c>
    </row>
    <row r="223" spans="1:7" x14ac:dyDescent="0.45">
      <c r="A223" s="9" t="s">
        <v>510</v>
      </c>
      <c r="B223" s="10">
        <v>6095688</v>
      </c>
      <c r="C223" s="10">
        <v>6414685</v>
      </c>
      <c r="D223" s="10">
        <v>6385170</v>
      </c>
      <c r="E223" s="10">
        <v>6788348</v>
      </c>
      <c r="F223" s="10">
        <v>8252057</v>
      </c>
      <c r="G223" s="10">
        <v>10928344</v>
      </c>
    </row>
    <row r="224" spans="1:7" x14ac:dyDescent="0.45">
      <c r="A224" s="9" t="s">
        <v>511</v>
      </c>
      <c r="B224" s="10">
        <v>1373335</v>
      </c>
      <c r="C224" s="10">
        <v>1374147</v>
      </c>
      <c r="D224" s="10">
        <v>1364824</v>
      </c>
      <c r="E224" s="10">
        <v>1681330</v>
      </c>
      <c r="F224" s="10">
        <v>2163426</v>
      </c>
      <c r="G224" s="10">
        <v>2849412</v>
      </c>
    </row>
    <row r="225" spans="1:9" x14ac:dyDescent="0.45">
      <c r="A225" s="9" t="s">
        <v>512</v>
      </c>
      <c r="B225" s="10">
        <v>5802493</v>
      </c>
      <c r="C225" s="10">
        <v>5980027</v>
      </c>
      <c r="D225" s="10">
        <v>5833034</v>
      </c>
      <c r="E225" s="10">
        <v>6391765</v>
      </c>
      <c r="F225" s="10">
        <v>7827039</v>
      </c>
      <c r="G225" s="10">
        <v>9499227</v>
      </c>
    </row>
    <row r="226" spans="1:9" x14ac:dyDescent="0.45">
      <c r="A226" s="9" t="s">
        <v>513</v>
      </c>
      <c r="B226" s="10">
        <v>20792408</v>
      </c>
      <c r="C226" s="10">
        <v>18795839</v>
      </c>
      <c r="D226" s="10">
        <v>21989783</v>
      </c>
      <c r="E226" s="10">
        <v>21615779</v>
      </c>
      <c r="F226" s="10">
        <v>28143551</v>
      </c>
      <c r="G226" s="10">
        <v>42761207</v>
      </c>
    </row>
    <row r="227" spans="1:9" x14ac:dyDescent="0.45">
      <c r="A227" s="9" t="s">
        <v>514</v>
      </c>
      <c r="B227" s="10">
        <v>3365155</v>
      </c>
      <c r="C227" s="10">
        <v>3599035</v>
      </c>
      <c r="D227" s="10">
        <v>4467600</v>
      </c>
      <c r="E227" s="10">
        <v>4166956</v>
      </c>
      <c r="F227" s="10">
        <v>4632315</v>
      </c>
      <c r="G227" s="10">
        <v>6920842</v>
      </c>
    </row>
    <row r="228" spans="1:9" x14ac:dyDescent="0.45">
      <c r="A228" s="9" t="s">
        <v>515</v>
      </c>
      <c r="B228" s="10">
        <v>1159491</v>
      </c>
      <c r="C228" s="10">
        <v>1458998</v>
      </c>
      <c r="D228" s="10">
        <v>1956305</v>
      </c>
      <c r="E228" s="10">
        <v>1905006</v>
      </c>
      <c r="F228" s="10">
        <v>1902788</v>
      </c>
      <c r="G228" s="10">
        <v>3182503</v>
      </c>
    </row>
    <row r="229" spans="1:9" x14ac:dyDescent="0.45">
      <c r="A229" s="9" t="s">
        <v>516</v>
      </c>
      <c r="B229" s="10">
        <v>1503182</v>
      </c>
      <c r="C229" s="10">
        <v>1402674</v>
      </c>
      <c r="D229" s="10">
        <v>1615371</v>
      </c>
      <c r="E229" s="10">
        <v>1414134</v>
      </c>
      <c r="F229" s="10">
        <v>1805712</v>
      </c>
      <c r="G229" s="10">
        <v>2286030</v>
      </c>
    </row>
    <row r="230" spans="1:9" x14ac:dyDescent="0.45">
      <c r="A230" s="9" t="s">
        <v>517</v>
      </c>
      <c r="B230" s="10">
        <v>702482</v>
      </c>
      <c r="C230" s="10">
        <v>737363</v>
      </c>
      <c r="D230" s="10">
        <v>895924</v>
      </c>
      <c r="E230" s="10">
        <v>847816</v>
      </c>
      <c r="F230" s="10">
        <v>923815</v>
      </c>
      <c r="G230" s="10">
        <v>1452309</v>
      </c>
    </row>
    <row r="231" spans="1:9" x14ac:dyDescent="0.45">
      <c r="A231" s="9" t="s">
        <v>518</v>
      </c>
      <c r="B231" s="10">
        <v>3214831</v>
      </c>
      <c r="C231" s="10">
        <v>1602659</v>
      </c>
      <c r="D231" s="10">
        <v>2664746</v>
      </c>
      <c r="E231" s="10">
        <v>2118344</v>
      </c>
      <c r="F231" s="10">
        <v>4861725</v>
      </c>
      <c r="G231" s="10">
        <v>7545650</v>
      </c>
    </row>
    <row r="232" spans="1:9" x14ac:dyDescent="0.45">
      <c r="A232" s="9" t="s">
        <v>519</v>
      </c>
      <c r="B232" s="10">
        <v>3214831</v>
      </c>
      <c r="C232" s="10">
        <v>1602659</v>
      </c>
      <c r="D232" s="10">
        <v>2664746</v>
      </c>
      <c r="E232" s="10">
        <v>2118344</v>
      </c>
      <c r="F232" s="10">
        <v>4861725</v>
      </c>
      <c r="G232" s="10">
        <v>7545650</v>
      </c>
      <c r="I232" t="s">
        <v>736</v>
      </c>
    </row>
    <row r="233" spans="1:9" x14ac:dyDescent="0.45">
      <c r="A233" s="9" t="s">
        <v>520</v>
      </c>
      <c r="B233" s="10">
        <v>4591540</v>
      </c>
      <c r="C233" s="10">
        <v>4319021</v>
      </c>
      <c r="D233" s="10">
        <v>4560719</v>
      </c>
      <c r="E233" s="10">
        <v>4950733</v>
      </c>
      <c r="F233" s="10">
        <v>6261984</v>
      </c>
      <c r="G233" s="10">
        <v>8790037</v>
      </c>
    </row>
    <row r="234" spans="1:9" x14ac:dyDescent="0.45">
      <c r="A234" s="9" t="s">
        <v>521</v>
      </c>
      <c r="B234" s="10">
        <v>4591540</v>
      </c>
      <c r="C234" s="10">
        <v>4319021</v>
      </c>
      <c r="D234" s="10">
        <v>4560719</v>
      </c>
      <c r="E234" s="10">
        <v>4950733</v>
      </c>
      <c r="F234" s="10">
        <v>6261984</v>
      </c>
      <c r="G234" s="10">
        <v>8790037</v>
      </c>
    </row>
    <row r="235" spans="1:9" x14ac:dyDescent="0.45">
      <c r="A235" s="9" t="s">
        <v>522</v>
      </c>
      <c r="B235" s="10">
        <v>4916526</v>
      </c>
      <c r="C235" s="10">
        <v>4879623</v>
      </c>
      <c r="D235" s="10">
        <v>5417819</v>
      </c>
      <c r="E235" s="10">
        <v>5539110</v>
      </c>
      <c r="F235" s="10">
        <v>6631392</v>
      </c>
      <c r="G235" s="10">
        <v>12144236</v>
      </c>
    </row>
    <row r="236" spans="1:9" x14ac:dyDescent="0.45">
      <c r="A236" s="9" t="s">
        <v>523</v>
      </c>
      <c r="B236" s="10">
        <v>744743</v>
      </c>
      <c r="C236" s="10">
        <v>797827</v>
      </c>
      <c r="D236" s="10">
        <v>992573</v>
      </c>
      <c r="E236" s="10">
        <v>857898</v>
      </c>
      <c r="F236" s="10">
        <v>892640</v>
      </c>
      <c r="G236" s="10">
        <v>1675084</v>
      </c>
    </row>
    <row r="237" spans="1:9" x14ac:dyDescent="0.45">
      <c r="A237" s="9" t="s">
        <v>524</v>
      </c>
      <c r="B237" s="10">
        <v>3662396</v>
      </c>
      <c r="C237" s="10">
        <v>3499078</v>
      </c>
      <c r="D237" s="10">
        <v>3802934</v>
      </c>
      <c r="E237" s="10">
        <v>4063999</v>
      </c>
      <c r="F237" s="10">
        <v>4961966</v>
      </c>
      <c r="G237" s="10">
        <v>9169965</v>
      </c>
    </row>
    <row r="238" spans="1:9" x14ac:dyDescent="0.45">
      <c r="A238" s="9" t="s">
        <v>525</v>
      </c>
      <c r="B238" s="10">
        <v>509387</v>
      </c>
      <c r="C238" s="10">
        <v>582718</v>
      </c>
      <c r="D238" s="10">
        <v>622312</v>
      </c>
      <c r="E238" s="10">
        <v>617213</v>
      </c>
      <c r="F238" s="10">
        <v>776786</v>
      </c>
      <c r="G238" s="10">
        <v>1299187</v>
      </c>
    </row>
    <row r="239" spans="1:9" x14ac:dyDescent="0.45">
      <c r="A239" s="9" t="s">
        <v>526</v>
      </c>
      <c r="B239" s="10">
        <v>4704356</v>
      </c>
      <c r="C239" s="10">
        <v>4395501</v>
      </c>
      <c r="D239" s="10">
        <v>4878899</v>
      </c>
      <c r="E239" s="10">
        <v>4840636</v>
      </c>
      <c r="F239" s="10">
        <v>5756135</v>
      </c>
      <c r="G239" s="10">
        <v>7360442</v>
      </c>
    </row>
    <row r="240" spans="1:9" x14ac:dyDescent="0.45">
      <c r="A240" s="9" t="s">
        <v>527</v>
      </c>
      <c r="B240" s="10">
        <v>1285662</v>
      </c>
      <c r="C240" s="10">
        <v>1088589</v>
      </c>
      <c r="D240" s="10">
        <v>1298118</v>
      </c>
      <c r="E240" s="10">
        <v>1394746</v>
      </c>
      <c r="F240" s="10">
        <v>1673691</v>
      </c>
      <c r="G240" s="10">
        <v>2521309</v>
      </c>
    </row>
    <row r="241" spans="1:7" x14ac:dyDescent="0.45">
      <c r="A241" s="9" t="s">
        <v>528</v>
      </c>
      <c r="B241" s="10">
        <v>743849</v>
      </c>
      <c r="C241" s="10">
        <v>664993</v>
      </c>
      <c r="D241" s="10">
        <v>584460</v>
      </c>
      <c r="E241" s="10">
        <v>633823</v>
      </c>
      <c r="F241" s="10">
        <v>699878</v>
      </c>
      <c r="G241" s="10">
        <v>1099895</v>
      </c>
    </row>
    <row r="242" spans="1:7" x14ac:dyDescent="0.45">
      <c r="A242" s="9" t="s">
        <v>529</v>
      </c>
      <c r="B242" s="10">
        <v>2674845</v>
      </c>
      <c r="C242" s="10">
        <v>2641919</v>
      </c>
      <c r="D242" s="10">
        <v>2996321</v>
      </c>
      <c r="E242" s="10">
        <v>2812067</v>
      </c>
      <c r="F242" s="10">
        <v>3382566</v>
      </c>
      <c r="G242" s="10">
        <v>3739238</v>
      </c>
    </row>
    <row r="243" spans="1:7" x14ac:dyDescent="0.45">
      <c r="A243" s="9" t="s">
        <v>530</v>
      </c>
      <c r="B243" s="10">
        <v>36480215</v>
      </c>
      <c r="C243" s="10">
        <v>40647431</v>
      </c>
      <c r="D243" s="10">
        <v>59777087</v>
      </c>
      <c r="E243" s="10">
        <v>51265319</v>
      </c>
      <c r="F243" s="10">
        <v>64963626</v>
      </c>
      <c r="G243" s="10">
        <v>133785805</v>
      </c>
    </row>
    <row r="244" spans="1:7" x14ac:dyDescent="0.45">
      <c r="A244" s="9" t="s">
        <v>531</v>
      </c>
      <c r="B244" s="10">
        <v>4805308</v>
      </c>
      <c r="C244" s="10">
        <v>6294107</v>
      </c>
      <c r="D244" s="10">
        <v>10221065</v>
      </c>
      <c r="E244" s="10">
        <v>10489434</v>
      </c>
      <c r="F244" s="10">
        <v>10361417</v>
      </c>
      <c r="G244" s="10">
        <v>18266974</v>
      </c>
    </row>
    <row r="245" spans="1:7" x14ac:dyDescent="0.45">
      <c r="A245" s="9" t="s">
        <v>532</v>
      </c>
      <c r="B245" s="10">
        <v>294016</v>
      </c>
      <c r="C245" s="10">
        <v>714687</v>
      </c>
      <c r="D245" s="10">
        <v>1133482</v>
      </c>
      <c r="E245" s="10">
        <v>922760</v>
      </c>
      <c r="F245" s="10">
        <v>1311356</v>
      </c>
      <c r="G245" s="10">
        <v>3101378</v>
      </c>
    </row>
    <row r="246" spans="1:7" x14ac:dyDescent="0.45">
      <c r="A246" s="9" t="s">
        <v>533</v>
      </c>
      <c r="B246" s="10">
        <v>4511292</v>
      </c>
      <c r="C246" s="10">
        <v>5579420</v>
      </c>
      <c r="D246" s="10">
        <v>9087583</v>
      </c>
      <c r="E246" s="10">
        <v>9566674</v>
      </c>
      <c r="F246" s="10">
        <v>9050061</v>
      </c>
      <c r="G246" s="10">
        <v>15165596</v>
      </c>
    </row>
    <row r="247" spans="1:7" x14ac:dyDescent="0.45">
      <c r="A247" s="9" t="s">
        <v>534</v>
      </c>
      <c r="B247" s="10">
        <v>15443201</v>
      </c>
      <c r="C247" s="10">
        <v>17976559</v>
      </c>
      <c r="D247" s="10">
        <v>29211216</v>
      </c>
      <c r="E247" s="10">
        <v>19224545</v>
      </c>
      <c r="F247" s="10">
        <v>25952442</v>
      </c>
      <c r="G247" s="10">
        <v>79109731</v>
      </c>
    </row>
    <row r="248" spans="1:7" x14ac:dyDescent="0.45">
      <c r="A248" s="9" t="s">
        <v>535</v>
      </c>
      <c r="B248" s="10">
        <v>1860963</v>
      </c>
      <c r="C248" s="10">
        <v>1659605</v>
      </c>
      <c r="D248" s="10">
        <v>11794030</v>
      </c>
      <c r="E248" s="10">
        <v>3612877</v>
      </c>
      <c r="F248" s="10">
        <v>6371468</v>
      </c>
      <c r="G248" s="10">
        <v>18720122</v>
      </c>
    </row>
    <row r="249" spans="1:7" x14ac:dyDescent="0.45">
      <c r="A249" s="9" t="s">
        <v>536</v>
      </c>
      <c r="B249" s="10">
        <v>8845248</v>
      </c>
      <c r="C249" s="10">
        <v>9937573</v>
      </c>
      <c r="D249" s="10">
        <v>10353225</v>
      </c>
      <c r="E249" s="10">
        <v>8578869</v>
      </c>
      <c r="F249" s="10">
        <v>9872009</v>
      </c>
      <c r="G249" s="10">
        <v>38711033</v>
      </c>
    </row>
    <row r="250" spans="1:7" x14ac:dyDescent="0.45">
      <c r="A250" s="9" t="s">
        <v>537</v>
      </c>
      <c r="B250" s="10">
        <v>3224231</v>
      </c>
      <c r="C250" s="10">
        <v>4534522</v>
      </c>
      <c r="D250" s="10">
        <v>4694142</v>
      </c>
      <c r="E250" s="10">
        <v>4350159</v>
      </c>
      <c r="F250" s="10">
        <v>5485888</v>
      </c>
      <c r="G250" s="10">
        <v>12035200</v>
      </c>
    </row>
    <row r="251" spans="1:7" x14ac:dyDescent="0.45">
      <c r="A251" s="9" t="s">
        <v>538</v>
      </c>
      <c r="B251" s="10">
        <v>1512759</v>
      </c>
      <c r="C251" s="10">
        <v>1844859</v>
      </c>
      <c r="D251" s="10">
        <v>2369819</v>
      </c>
      <c r="E251" s="10">
        <v>2682640</v>
      </c>
      <c r="F251" s="10">
        <v>4223077</v>
      </c>
      <c r="G251" s="10">
        <v>9643376</v>
      </c>
    </row>
    <row r="252" spans="1:7" x14ac:dyDescent="0.45">
      <c r="A252" s="9" t="s">
        <v>539</v>
      </c>
      <c r="B252" s="10">
        <v>3410910</v>
      </c>
      <c r="C252" s="10">
        <v>2999572</v>
      </c>
      <c r="D252" s="10">
        <v>3605194</v>
      </c>
      <c r="E252" s="10">
        <v>3486110</v>
      </c>
      <c r="F252" s="10">
        <v>4044941</v>
      </c>
      <c r="G252" s="10">
        <v>5389734</v>
      </c>
    </row>
    <row r="253" spans="1:7" x14ac:dyDescent="0.45">
      <c r="A253" s="9" t="s">
        <v>540</v>
      </c>
      <c r="B253" s="10">
        <v>1302151</v>
      </c>
      <c r="C253" s="10">
        <v>1184879</v>
      </c>
      <c r="D253" s="10">
        <v>1293033</v>
      </c>
      <c r="E253" s="10">
        <v>1362731</v>
      </c>
      <c r="F253" s="10">
        <v>2130241</v>
      </c>
      <c r="G253" s="10">
        <v>3317263</v>
      </c>
    </row>
    <row r="254" spans="1:7" x14ac:dyDescent="0.45">
      <c r="A254" s="9" t="s">
        <v>541</v>
      </c>
      <c r="B254" s="10">
        <v>2108759</v>
      </c>
      <c r="C254" s="10">
        <v>1814693</v>
      </c>
      <c r="D254" s="10">
        <v>2312161</v>
      </c>
      <c r="E254" s="10">
        <v>2123379</v>
      </c>
      <c r="F254" s="10">
        <v>1914700</v>
      </c>
      <c r="G254" s="10">
        <v>2072471</v>
      </c>
    </row>
    <row r="255" spans="1:7" x14ac:dyDescent="0.45">
      <c r="A255" s="9" t="s">
        <v>542</v>
      </c>
      <c r="B255" s="10">
        <v>11618156</v>
      </c>
      <c r="C255" s="10">
        <v>12105030</v>
      </c>
      <c r="D255" s="10">
        <v>15235870</v>
      </c>
      <c r="E255" s="10">
        <v>16382288</v>
      </c>
      <c r="F255" s="10">
        <v>22840971</v>
      </c>
      <c r="G255" s="10">
        <v>28610386</v>
      </c>
    </row>
    <row r="256" spans="1:7" x14ac:dyDescent="0.45">
      <c r="A256" s="9" t="s">
        <v>543</v>
      </c>
      <c r="B256" s="10">
        <v>6855944</v>
      </c>
      <c r="C256" s="10">
        <v>7108198</v>
      </c>
      <c r="D256" s="10">
        <v>8677141</v>
      </c>
      <c r="E256" s="10">
        <v>8385333</v>
      </c>
      <c r="F256" s="10">
        <v>9033875</v>
      </c>
      <c r="G256" s="10">
        <v>15009273</v>
      </c>
    </row>
    <row r="257" spans="1:7" x14ac:dyDescent="0.45">
      <c r="A257" s="9" t="s">
        <v>544</v>
      </c>
      <c r="B257" s="10">
        <v>2971374</v>
      </c>
      <c r="C257" s="10">
        <v>2839736</v>
      </c>
      <c r="D257" s="10">
        <v>3746269</v>
      </c>
      <c r="E257" s="10">
        <v>5411954</v>
      </c>
      <c r="F257" s="10">
        <v>11025507</v>
      </c>
      <c r="G257" s="10">
        <v>9622730</v>
      </c>
    </row>
    <row r="258" spans="1:7" x14ac:dyDescent="0.45">
      <c r="A258" s="9" t="s">
        <v>545</v>
      </c>
      <c r="B258" s="10">
        <v>821905</v>
      </c>
      <c r="C258" s="10">
        <v>700567</v>
      </c>
      <c r="D258" s="10">
        <v>979689</v>
      </c>
      <c r="E258" s="10">
        <v>1156183</v>
      </c>
      <c r="F258" s="10">
        <v>1129032</v>
      </c>
      <c r="G258" s="10">
        <v>2639419</v>
      </c>
    </row>
    <row r="259" spans="1:7" x14ac:dyDescent="0.45">
      <c r="A259" s="9" t="s">
        <v>546</v>
      </c>
      <c r="B259" s="10">
        <v>968933</v>
      </c>
      <c r="C259" s="10">
        <v>1456529</v>
      </c>
      <c r="D259" s="10">
        <v>1832771</v>
      </c>
      <c r="E259" s="10">
        <v>1428818</v>
      </c>
      <c r="F259" s="10">
        <v>1652557</v>
      </c>
      <c r="G259" s="10">
        <v>1338964</v>
      </c>
    </row>
    <row r="260" spans="1:7" x14ac:dyDescent="0.45">
      <c r="A260" s="9" t="s">
        <v>547</v>
      </c>
      <c r="B260" s="10">
        <v>1202640</v>
      </c>
      <c r="C260" s="10">
        <v>1272163</v>
      </c>
      <c r="D260" s="10">
        <v>1503742</v>
      </c>
      <c r="E260" s="10">
        <v>1682942</v>
      </c>
      <c r="F260" s="10">
        <v>1763855</v>
      </c>
      <c r="G260" s="10">
        <v>2408980</v>
      </c>
    </row>
    <row r="261" spans="1:7" x14ac:dyDescent="0.45">
      <c r="A261" s="9" t="s">
        <v>548</v>
      </c>
      <c r="B261" s="10">
        <v>947152</v>
      </c>
      <c r="C261" s="10">
        <v>966394</v>
      </c>
      <c r="D261" s="10">
        <v>1198984</v>
      </c>
      <c r="E261" s="10">
        <v>1223351</v>
      </c>
      <c r="F261" s="10">
        <v>1361367</v>
      </c>
      <c r="G261" s="10">
        <v>1968753</v>
      </c>
    </row>
    <row r="262" spans="1:7" x14ac:dyDescent="0.45">
      <c r="A262" s="9" t="s">
        <v>549</v>
      </c>
      <c r="B262" s="10">
        <v>255488</v>
      </c>
      <c r="C262" s="10">
        <v>305769</v>
      </c>
      <c r="D262" s="10">
        <v>304758</v>
      </c>
      <c r="E262" s="10">
        <v>459591</v>
      </c>
      <c r="F262" s="10">
        <v>402488</v>
      </c>
      <c r="G262" s="10">
        <v>440227</v>
      </c>
    </row>
    <row r="263" spans="1:7" x14ac:dyDescent="0.45">
      <c r="A263" s="9" t="s">
        <v>550</v>
      </c>
      <c r="B263" s="10">
        <v>19493494</v>
      </c>
      <c r="C263" s="10">
        <v>19944316</v>
      </c>
      <c r="D263" s="10">
        <v>22878427</v>
      </c>
      <c r="E263" s="10">
        <v>24439527</v>
      </c>
      <c r="F263" s="10">
        <v>28575983</v>
      </c>
      <c r="G263" s="10">
        <v>42149107</v>
      </c>
    </row>
    <row r="264" spans="1:7" x14ac:dyDescent="0.45">
      <c r="A264" s="9" t="s">
        <v>551</v>
      </c>
      <c r="B264" s="10">
        <v>3691250</v>
      </c>
      <c r="C264" s="10">
        <v>3380469</v>
      </c>
      <c r="D264" s="10">
        <v>3714828</v>
      </c>
      <c r="E264" s="10">
        <v>4207525</v>
      </c>
      <c r="F264" s="10">
        <v>4671769</v>
      </c>
      <c r="G264" s="10">
        <v>6544883</v>
      </c>
    </row>
    <row r="265" spans="1:7" x14ac:dyDescent="0.45">
      <c r="A265" s="9" t="s">
        <v>552</v>
      </c>
      <c r="B265" s="10">
        <v>2156945</v>
      </c>
      <c r="C265" s="10">
        <v>2042351</v>
      </c>
      <c r="D265" s="10">
        <v>2307069</v>
      </c>
      <c r="E265" s="10">
        <v>2857488</v>
      </c>
      <c r="F265" s="10">
        <v>3289537</v>
      </c>
      <c r="G265" s="10">
        <v>4904911</v>
      </c>
    </row>
    <row r="266" spans="1:7" x14ac:dyDescent="0.45">
      <c r="A266" s="9" t="s">
        <v>553</v>
      </c>
      <c r="B266" s="10">
        <v>897134</v>
      </c>
      <c r="C266" s="10">
        <v>732298</v>
      </c>
      <c r="D266" s="10">
        <v>736775</v>
      </c>
      <c r="E266" s="10">
        <v>716975</v>
      </c>
      <c r="F266" s="10">
        <v>735034</v>
      </c>
      <c r="G266" s="10">
        <v>957981</v>
      </c>
    </row>
    <row r="267" spans="1:7" x14ac:dyDescent="0.45">
      <c r="A267" s="9" t="s">
        <v>554</v>
      </c>
      <c r="B267" s="10">
        <v>637171</v>
      </c>
      <c r="C267" s="10">
        <v>605820</v>
      </c>
      <c r="D267" s="10">
        <v>670984</v>
      </c>
      <c r="E267" s="10">
        <v>633062</v>
      </c>
      <c r="F267" s="10">
        <v>647198</v>
      </c>
      <c r="G267" s="10">
        <v>681991</v>
      </c>
    </row>
    <row r="268" spans="1:7" x14ac:dyDescent="0.45">
      <c r="A268" s="9" t="s">
        <v>555</v>
      </c>
      <c r="B268" s="10">
        <v>1042002</v>
      </c>
      <c r="C268" s="10">
        <v>1055778</v>
      </c>
      <c r="D268" s="10">
        <v>657218</v>
      </c>
      <c r="E268" s="10">
        <v>696086</v>
      </c>
      <c r="F268" s="10">
        <v>817520</v>
      </c>
      <c r="G268" s="10">
        <v>930028</v>
      </c>
    </row>
    <row r="269" spans="1:7" x14ac:dyDescent="0.45">
      <c r="A269" s="9" t="s">
        <v>556</v>
      </c>
      <c r="B269" s="10">
        <v>682025</v>
      </c>
      <c r="C269" s="10">
        <v>794528</v>
      </c>
      <c r="D269" s="10">
        <v>319977</v>
      </c>
      <c r="E269" s="10">
        <v>316108</v>
      </c>
      <c r="F269" s="10">
        <v>446884</v>
      </c>
      <c r="G269" s="10">
        <v>573151</v>
      </c>
    </row>
    <row r="270" spans="1:7" x14ac:dyDescent="0.45">
      <c r="A270" s="9" t="s">
        <v>557</v>
      </c>
      <c r="B270" s="10">
        <v>359977</v>
      </c>
      <c r="C270" s="10">
        <v>261250</v>
      </c>
      <c r="D270" s="10">
        <v>337241</v>
      </c>
      <c r="E270" s="10">
        <v>379978</v>
      </c>
      <c r="F270" s="10">
        <v>370636</v>
      </c>
      <c r="G270" s="10">
        <v>356877</v>
      </c>
    </row>
    <row r="271" spans="1:7" x14ac:dyDescent="0.45">
      <c r="A271" s="9" t="s">
        <v>558</v>
      </c>
      <c r="B271" s="10">
        <v>2698463</v>
      </c>
      <c r="C271" s="10">
        <v>2740746</v>
      </c>
      <c r="D271" s="10">
        <v>3320811</v>
      </c>
      <c r="E271" s="10">
        <v>3444363</v>
      </c>
      <c r="F271" s="10">
        <v>3666794</v>
      </c>
      <c r="G271" s="10">
        <v>6980959</v>
      </c>
    </row>
    <row r="272" spans="1:7" x14ac:dyDescent="0.45">
      <c r="A272" s="9" t="s">
        <v>559</v>
      </c>
      <c r="B272" s="10">
        <v>183301</v>
      </c>
      <c r="C272" s="10">
        <v>211560</v>
      </c>
      <c r="D272" s="10">
        <v>346501</v>
      </c>
      <c r="E272" s="10">
        <v>328701</v>
      </c>
      <c r="F272" s="10">
        <v>391276</v>
      </c>
      <c r="G272" s="10">
        <v>610601</v>
      </c>
    </row>
    <row r="273" spans="1:7" x14ac:dyDescent="0.45">
      <c r="A273" s="9" t="s">
        <v>560</v>
      </c>
      <c r="B273" s="10">
        <v>942337</v>
      </c>
      <c r="C273" s="10">
        <v>1011618</v>
      </c>
      <c r="D273" s="10">
        <v>1135816</v>
      </c>
      <c r="E273" s="10">
        <v>1365886</v>
      </c>
      <c r="F273" s="10">
        <v>1444502</v>
      </c>
      <c r="G273" s="10">
        <v>3611839</v>
      </c>
    </row>
    <row r="274" spans="1:7" x14ac:dyDescent="0.45">
      <c r="A274" s="9" t="s">
        <v>561</v>
      </c>
      <c r="B274" s="10">
        <v>1572825</v>
      </c>
      <c r="C274" s="10">
        <v>1517568</v>
      </c>
      <c r="D274" s="10">
        <v>1838494</v>
      </c>
      <c r="E274" s="10">
        <v>1749776</v>
      </c>
      <c r="F274" s="10">
        <v>1831016</v>
      </c>
      <c r="G274" s="10">
        <v>2758519</v>
      </c>
    </row>
    <row r="275" spans="1:7" x14ac:dyDescent="0.45">
      <c r="A275" s="9" t="s">
        <v>562</v>
      </c>
      <c r="B275" s="10">
        <v>3198095</v>
      </c>
      <c r="C275" s="10">
        <v>3254980</v>
      </c>
      <c r="D275" s="10">
        <v>3608851</v>
      </c>
      <c r="E275" s="10">
        <v>3505929</v>
      </c>
      <c r="F275" s="10">
        <v>4018659</v>
      </c>
      <c r="G275" s="10">
        <v>5830691</v>
      </c>
    </row>
    <row r="276" spans="1:7" x14ac:dyDescent="0.45">
      <c r="A276" s="9" t="s">
        <v>563</v>
      </c>
      <c r="B276" s="10">
        <v>773039</v>
      </c>
      <c r="C276" s="10">
        <v>840850</v>
      </c>
      <c r="D276" s="10">
        <v>710496</v>
      </c>
      <c r="E276" s="10">
        <v>562618</v>
      </c>
      <c r="F276" s="10">
        <v>928086</v>
      </c>
      <c r="G276" s="10">
        <v>1253422</v>
      </c>
    </row>
    <row r="277" spans="1:7" x14ac:dyDescent="0.45">
      <c r="A277" s="9" t="s">
        <v>564</v>
      </c>
      <c r="B277" s="10">
        <v>1122353</v>
      </c>
      <c r="C277" s="10">
        <v>1069479</v>
      </c>
      <c r="D277" s="10">
        <v>1171313</v>
      </c>
      <c r="E277" s="10">
        <v>1045143</v>
      </c>
      <c r="F277" s="10">
        <v>1125100</v>
      </c>
      <c r="G277" s="10">
        <v>1664289</v>
      </c>
    </row>
    <row r="278" spans="1:7" x14ac:dyDescent="0.45">
      <c r="A278" s="9" t="s">
        <v>565</v>
      </c>
      <c r="B278" s="10">
        <v>1302703</v>
      </c>
      <c r="C278" s="10">
        <v>1344651</v>
      </c>
      <c r="D278" s="10">
        <v>1727042</v>
      </c>
      <c r="E278" s="10">
        <v>1898168</v>
      </c>
      <c r="F278" s="10">
        <v>1965473</v>
      </c>
      <c r="G278" s="10">
        <v>2912980</v>
      </c>
    </row>
    <row r="279" spans="1:7" x14ac:dyDescent="0.45">
      <c r="A279" s="9" t="s">
        <v>566</v>
      </c>
      <c r="B279" s="10">
        <v>475775</v>
      </c>
      <c r="C279" s="10">
        <v>381918</v>
      </c>
      <c r="D279" s="10">
        <v>598900</v>
      </c>
      <c r="E279" s="10">
        <v>859655</v>
      </c>
      <c r="F279" s="10">
        <v>1042485</v>
      </c>
      <c r="G279" s="10">
        <v>1823351</v>
      </c>
    </row>
    <row r="280" spans="1:7" x14ac:dyDescent="0.45">
      <c r="A280" s="9" t="s">
        <v>567</v>
      </c>
      <c r="B280" s="10">
        <v>475775</v>
      </c>
      <c r="C280" s="10">
        <v>381918</v>
      </c>
      <c r="D280" s="10">
        <v>598900</v>
      </c>
      <c r="E280" s="10">
        <v>859655</v>
      </c>
      <c r="F280" s="10">
        <v>1042485</v>
      </c>
      <c r="G280" s="10">
        <v>1823351</v>
      </c>
    </row>
    <row r="281" spans="1:7" x14ac:dyDescent="0.45">
      <c r="A281" s="9" t="s">
        <v>568</v>
      </c>
      <c r="B281" s="10">
        <v>8387909</v>
      </c>
      <c r="C281" s="10">
        <v>9130425</v>
      </c>
      <c r="D281" s="10">
        <v>10977819</v>
      </c>
      <c r="E281" s="10">
        <v>11725969</v>
      </c>
      <c r="F281" s="10">
        <v>14358756</v>
      </c>
      <c r="G281" s="10">
        <v>20039195</v>
      </c>
    </row>
    <row r="282" spans="1:7" x14ac:dyDescent="0.45">
      <c r="A282" s="9" t="s">
        <v>569</v>
      </c>
      <c r="B282" s="10">
        <v>3431195</v>
      </c>
      <c r="C282" s="10">
        <v>3520979</v>
      </c>
      <c r="D282" s="10">
        <v>4336102</v>
      </c>
      <c r="E282" s="10">
        <v>5078600</v>
      </c>
      <c r="F282" s="10">
        <v>7055271</v>
      </c>
      <c r="G282" s="10">
        <v>8450369</v>
      </c>
    </row>
    <row r="283" spans="1:7" x14ac:dyDescent="0.45">
      <c r="A283" s="9" t="s">
        <v>570</v>
      </c>
      <c r="B283" s="10">
        <v>1758343</v>
      </c>
      <c r="C283" s="10">
        <v>2188413</v>
      </c>
      <c r="D283" s="10">
        <v>2254339</v>
      </c>
      <c r="E283" s="10">
        <v>2460400</v>
      </c>
      <c r="F283" s="10">
        <v>2954892</v>
      </c>
      <c r="G283" s="10">
        <v>4462921</v>
      </c>
    </row>
    <row r="284" spans="1:7" x14ac:dyDescent="0.45">
      <c r="A284" s="9" t="s">
        <v>571</v>
      </c>
      <c r="B284" s="10">
        <v>486511</v>
      </c>
      <c r="C284" s="10">
        <v>522989</v>
      </c>
      <c r="D284" s="10">
        <v>704845</v>
      </c>
      <c r="E284" s="10">
        <v>616522</v>
      </c>
      <c r="F284" s="10">
        <v>880943</v>
      </c>
      <c r="G284" s="10">
        <v>1134611</v>
      </c>
    </row>
    <row r="285" spans="1:7" x14ac:dyDescent="0.45">
      <c r="A285" s="9" t="s">
        <v>572</v>
      </c>
      <c r="B285" s="10">
        <v>2711860</v>
      </c>
      <c r="C285" s="10">
        <v>2898044</v>
      </c>
      <c r="D285" s="10">
        <v>3682533</v>
      </c>
      <c r="E285" s="10">
        <v>3570447</v>
      </c>
      <c r="F285" s="10">
        <v>3467650</v>
      </c>
      <c r="G285" s="10">
        <v>5991294</v>
      </c>
    </row>
    <row r="286" spans="1:7" x14ac:dyDescent="0.45">
      <c r="A286" s="9" t="s">
        <v>194</v>
      </c>
      <c r="B286" s="10">
        <v>15398310</v>
      </c>
      <c r="C286" s="10">
        <v>17294138</v>
      </c>
      <c r="D286" s="10">
        <v>17142424</v>
      </c>
      <c r="E286" s="10">
        <v>17371353</v>
      </c>
      <c r="F286" s="10">
        <v>19039949</v>
      </c>
      <c r="G286" s="10">
        <v>27263728</v>
      </c>
    </row>
    <row r="287" spans="1:7" x14ac:dyDescent="0.45">
      <c r="A287" s="9" t="s">
        <v>272</v>
      </c>
      <c r="B287" s="10">
        <v>916188</v>
      </c>
      <c r="C287" s="10">
        <v>1918226</v>
      </c>
      <c r="D287" s="10">
        <v>2196885</v>
      </c>
      <c r="E287" s="10">
        <v>1586940</v>
      </c>
      <c r="F287" s="10">
        <v>2002138</v>
      </c>
      <c r="G287" s="10">
        <v>2818648</v>
      </c>
    </row>
    <row r="288" spans="1:7" x14ac:dyDescent="0.45">
      <c r="A288" s="9" t="s">
        <v>273</v>
      </c>
      <c r="B288" s="10">
        <v>916188</v>
      </c>
      <c r="C288" s="10">
        <v>1918226</v>
      </c>
      <c r="D288" s="10">
        <v>2196885</v>
      </c>
      <c r="E288" s="10">
        <v>1586940</v>
      </c>
      <c r="F288" s="10">
        <v>2002138</v>
      </c>
      <c r="G288" s="10">
        <v>2818648</v>
      </c>
    </row>
    <row r="289" spans="1:7" x14ac:dyDescent="0.45">
      <c r="A289" s="9" t="s">
        <v>274</v>
      </c>
      <c r="B289" s="10">
        <v>2916262</v>
      </c>
      <c r="C289" s="10">
        <v>2991888</v>
      </c>
      <c r="D289" s="10">
        <v>3476957</v>
      </c>
      <c r="E289" s="10">
        <v>4063235</v>
      </c>
      <c r="F289" s="10">
        <v>3997016</v>
      </c>
      <c r="G289" s="10">
        <v>6284487</v>
      </c>
    </row>
    <row r="290" spans="1:7" x14ac:dyDescent="0.45">
      <c r="A290" s="9" t="s">
        <v>573</v>
      </c>
      <c r="B290" s="10">
        <v>1446780</v>
      </c>
      <c r="C290" s="10">
        <v>1792201</v>
      </c>
      <c r="D290" s="10">
        <v>1513508</v>
      </c>
      <c r="E290" s="10">
        <v>2170919</v>
      </c>
      <c r="F290" s="10">
        <v>2408500</v>
      </c>
      <c r="G290" s="10">
        <v>4373003</v>
      </c>
    </row>
    <row r="291" spans="1:7" x14ac:dyDescent="0.45">
      <c r="A291" s="9" t="s">
        <v>574</v>
      </c>
      <c r="B291" s="10">
        <v>1469482</v>
      </c>
      <c r="C291" s="10">
        <v>1199687</v>
      </c>
      <c r="D291" s="10">
        <v>1963449</v>
      </c>
      <c r="E291" s="10">
        <v>1892316</v>
      </c>
      <c r="F291" s="10">
        <v>1588516</v>
      </c>
      <c r="G291" s="10">
        <v>1911484</v>
      </c>
    </row>
    <row r="292" spans="1:7" x14ac:dyDescent="0.45">
      <c r="A292" s="9" t="s">
        <v>575</v>
      </c>
      <c r="B292" s="10">
        <v>5447710</v>
      </c>
      <c r="C292" s="10">
        <v>5490608</v>
      </c>
      <c r="D292" s="10">
        <v>4552235</v>
      </c>
      <c r="E292" s="10">
        <v>4581383</v>
      </c>
      <c r="F292" s="10">
        <v>4809923</v>
      </c>
      <c r="G292" s="10">
        <v>8817634</v>
      </c>
    </row>
    <row r="293" spans="1:7" x14ac:dyDescent="0.45">
      <c r="A293" s="9" t="s">
        <v>576</v>
      </c>
      <c r="B293" s="10">
        <v>1544428</v>
      </c>
      <c r="C293" s="10">
        <v>1953025</v>
      </c>
      <c r="D293" s="10">
        <v>2302795</v>
      </c>
      <c r="E293" s="10">
        <v>2300903</v>
      </c>
      <c r="F293" s="10">
        <v>2709423</v>
      </c>
      <c r="G293" s="10">
        <v>4200607</v>
      </c>
    </row>
    <row r="294" spans="1:7" x14ac:dyDescent="0.45">
      <c r="A294" s="9" t="s">
        <v>577</v>
      </c>
      <c r="B294" s="10">
        <v>3903282</v>
      </c>
      <c r="C294" s="10">
        <v>3537583</v>
      </c>
      <c r="D294" s="10">
        <v>2249440</v>
      </c>
      <c r="E294" s="10">
        <v>2280480</v>
      </c>
      <c r="F294" s="10">
        <v>2100500</v>
      </c>
      <c r="G294" s="10">
        <v>4617027</v>
      </c>
    </row>
    <row r="295" spans="1:7" x14ac:dyDescent="0.45">
      <c r="A295" s="9" t="s">
        <v>578</v>
      </c>
      <c r="B295" s="10">
        <v>3752367</v>
      </c>
      <c r="C295" s="10">
        <v>4441329</v>
      </c>
      <c r="D295" s="10">
        <v>4268271</v>
      </c>
      <c r="E295" s="10">
        <v>4063221</v>
      </c>
      <c r="F295" s="10">
        <v>4998369</v>
      </c>
      <c r="G295" s="10">
        <v>5589766</v>
      </c>
    </row>
    <row r="296" spans="1:7" x14ac:dyDescent="0.45">
      <c r="A296" s="9" t="s">
        <v>579</v>
      </c>
      <c r="B296" s="10">
        <v>3752367</v>
      </c>
      <c r="C296" s="10">
        <v>4441329</v>
      </c>
      <c r="D296" s="10">
        <v>4268271</v>
      </c>
      <c r="E296" s="10">
        <v>4063221</v>
      </c>
      <c r="F296" s="10">
        <v>4998369</v>
      </c>
      <c r="G296" s="10">
        <v>5589766</v>
      </c>
    </row>
    <row r="297" spans="1:7" x14ac:dyDescent="0.45">
      <c r="A297" s="9" t="s">
        <v>580</v>
      </c>
      <c r="B297" s="10">
        <v>1758309</v>
      </c>
      <c r="C297" s="10">
        <v>1889205</v>
      </c>
      <c r="D297" s="10">
        <v>2183876</v>
      </c>
      <c r="E297" s="10">
        <v>2481635</v>
      </c>
      <c r="F297" s="10">
        <v>2532748</v>
      </c>
      <c r="G297" s="10">
        <v>3117599</v>
      </c>
    </row>
    <row r="298" spans="1:7" x14ac:dyDescent="0.45">
      <c r="A298" s="143" t="s">
        <v>581</v>
      </c>
      <c r="B298" s="10">
        <v>1381365</v>
      </c>
      <c r="C298" s="10">
        <v>1585114</v>
      </c>
      <c r="D298" s="10">
        <v>1766448</v>
      </c>
      <c r="E298" s="10">
        <v>2181250</v>
      </c>
      <c r="F298" s="10">
        <v>2146685</v>
      </c>
      <c r="G298" s="10">
        <v>2667771</v>
      </c>
    </row>
    <row r="299" spans="1:7" x14ac:dyDescent="0.45">
      <c r="A299" s="9" t="s">
        <v>582</v>
      </c>
      <c r="B299" s="10">
        <v>376944</v>
      </c>
      <c r="C299" s="10">
        <v>304091</v>
      </c>
      <c r="D299" s="10">
        <v>417428</v>
      </c>
      <c r="E299" s="10">
        <v>300385</v>
      </c>
      <c r="F299" s="10">
        <v>386063</v>
      </c>
      <c r="G299" s="10">
        <v>449828</v>
      </c>
    </row>
    <row r="300" spans="1:7" x14ac:dyDescent="0.45">
      <c r="A300" s="9" t="s">
        <v>195</v>
      </c>
      <c r="B300" s="10">
        <v>541511</v>
      </c>
      <c r="C300" s="10">
        <v>516355</v>
      </c>
      <c r="D300" s="10">
        <v>402549</v>
      </c>
      <c r="E300" s="10">
        <v>539734</v>
      </c>
      <c r="F300" s="10">
        <v>628790</v>
      </c>
      <c r="G300" s="10">
        <v>597039</v>
      </c>
    </row>
    <row r="301" spans="1:7" x14ac:dyDescent="0.45">
      <c r="A301" s="9" t="s">
        <v>583</v>
      </c>
      <c r="B301" s="10">
        <v>541511</v>
      </c>
      <c r="C301" s="10">
        <v>516355</v>
      </c>
      <c r="D301" s="10">
        <v>402549</v>
      </c>
      <c r="E301" s="10">
        <v>539734</v>
      </c>
      <c r="F301" s="10">
        <v>628790</v>
      </c>
      <c r="G301" s="10">
        <v>597039</v>
      </c>
    </row>
    <row r="302" spans="1:7" x14ac:dyDescent="0.45">
      <c r="A302" s="9" t="s">
        <v>584</v>
      </c>
      <c r="B302" s="10">
        <v>65511</v>
      </c>
      <c r="C302" s="10">
        <v>37997</v>
      </c>
      <c r="D302" s="10" t="s">
        <v>34</v>
      </c>
      <c r="E302" s="10">
        <v>55205</v>
      </c>
      <c r="F302" s="10">
        <v>70965</v>
      </c>
      <c r="G302" s="10">
        <v>38555</v>
      </c>
    </row>
    <row r="303" spans="1:7" x14ac:dyDescent="0.45">
      <c r="A303" s="9" t="s">
        <v>585</v>
      </c>
      <c r="B303" s="10">
        <v>65511</v>
      </c>
      <c r="C303" s="10">
        <v>37997</v>
      </c>
      <c r="D303" s="10" t="s">
        <v>34</v>
      </c>
      <c r="E303" s="10">
        <v>55205</v>
      </c>
      <c r="F303" s="10">
        <v>70965</v>
      </c>
      <c r="G303" s="10">
        <v>38555</v>
      </c>
    </row>
    <row r="304" spans="1:7" x14ac:dyDescent="0.45">
      <c r="A304" s="9" t="s">
        <v>586</v>
      </c>
      <c r="B304" s="10">
        <v>452</v>
      </c>
      <c r="C304" s="10">
        <v>8530</v>
      </c>
      <c r="D304" s="10" t="s">
        <v>34</v>
      </c>
      <c r="E304" s="10" t="s">
        <v>35</v>
      </c>
      <c r="F304" s="10" t="s">
        <v>35</v>
      </c>
      <c r="G304" s="10" t="s">
        <v>35</v>
      </c>
    </row>
    <row r="305" spans="1:7" x14ac:dyDescent="0.45">
      <c r="A305" s="9" t="s">
        <v>587</v>
      </c>
      <c r="B305" s="10">
        <v>452</v>
      </c>
      <c r="C305" s="10">
        <v>8530</v>
      </c>
      <c r="D305" s="10" t="s">
        <v>34</v>
      </c>
      <c r="E305" s="10" t="s">
        <v>35</v>
      </c>
      <c r="F305" s="10" t="s">
        <v>35</v>
      </c>
      <c r="G305" s="10" t="s">
        <v>35</v>
      </c>
    </row>
    <row r="306" spans="1:7" x14ac:dyDescent="0.45">
      <c r="A306" s="9" t="s">
        <v>588</v>
      </c>
      <c r="B306" s="10">
        <v>18010027</v>
      </c>
      <c r="C306" s="10">
        <v>18095476</v>
      </c>
      <c r="D306" s="10">
        <v>19559480</v>
      </c>
      <c r="E306" s="10">
        <v>22516181</v>
      </c>
      <c r="F306" s="10">
        <v>24762143</v>
      </c>
      <c r="G306" s="10">
        <v>32956827</v>
      </c>
    </row>
    <row r="307" spans="1:7" x14ac:dyDescent="0.45">
      <c r="A307" s="9" t="s">
        <v>589</v>
      </c>
      <c r="B307" s="10">
        <v>7654405</v>
      </c>
      <c r="C307" s="10">
        <v>7017896</v>
      </c>
      <c r="D307" s="10">
        <v>7785487</v>
      </c>
      <c r="E307" s="10">
        <v>9169745</v>
      </c>
      <c r="F307" s="10">
        <v>8840913</v>
      </c>
      <c r="G307" s="10">
        <v>12711638</v>
      </c>
    </row>
    <row r="308" spans="1:7" x14ac:dyDescent="0.45">
      <c r="A308" s="9" t="s">
        <v>590</v>
      </c>
      <c r="B308" s="10">
        <v>7654405</v>
      </c>
      <c r="C308" s="10">
        <v>7017896</v>
      </c>
      <c r="D308" s="10">
        <v>7785487</v>
      </c>
      <c r="E308" s="10">
        <v>9169745</v>
      </c>
      <c r="F308" s="10">
        <v>8840913</v>
      </c>
      <c r="G308" s="10">
        <v>12711638</v>
      </c>
    </row>
    <row r="309" spans="1:7" x14ac:dyDescent="0.45">
      <c r="A309" s="9" t="s">
        <v>591</v>
      </c>
      <c r="B309" s="10">
        <v>914937</v>
      </c>
      <c r="C309" s="10">
        <v>1085003</v>
      </c>
      <c r="D309" s="10">
        <v>1047653</v>
      </c>
      <c r="E309" s="10">
        <v>1021803</v>
      </c>
      <c r="F309" s="10">
        <v>1448142</v>
      </c>
      <c r="G309" s="10">
        <v>1193725</v>
      </c>
    </row>
    <row r="310" spans="1:7" x14ac:dyDescent="0.45">
      <c r="A310" s="9" t="s">
        <v>592</v>
      </c>
      <c r="B310" s="10">
        <v>186080</v>
      </c>
      <c r="C310" s="10">
        <v>223194</v>
      </c>
      <c r="D310" s="10">
        <v>310639</v>
      </c>
      <c r="E310" s="10">
        <v>290125</v>
      </c>
      <c r="F310" s="10">
        <v>349436</v>
      </c>
      <c r="G310" s="10">
        <v>376898</v>
      </c>
    </row>
    <row r="311" spans="1:7" x14ac:dyDescent="0.45">
      <c r="A311" s="9" t="s">
        <v>593</v>
      </c>
      <c r="B311" s="10">
        <v>728857</v>
      </c>
      <c r="C311" s="10">
        <v>861809</v>
      </c>
      <c r="D311" s="10">
        <v>737014</v>
      </c>
      <c r="E311" s="10">
        <v>731678</v>
      </c>
      <c r="F311" s="10">
        <v>1098706</v>
      </c>
      <c r="G311" s="10">
        <v>816827</v>
      </c>
    </row>
    <row r="312" spans="1:7" x14ac:dyDescent="0.45">
      <c r="A312" s="9" t="s">
        <v>594</v>
      </c>
      <c r="B312" s="10">
        <v>4090805</v>
      </c>
      <c r="C312" s="10">
        <v>4371379</v>
      </c>
      <c r="D312" s="10">
        <v>4565115</v>
      </c>
      <c r="E312" s="10">
        <v>5292536</v>
      </c>
      <c r="F312" s="10">
        <v>6625326</v>
      </c>
      <c r="G312" s="10">
        <v>10086521</v>
      </c>
    </row>
    <row r="313" spans="1:7" x14ac:dyDescent="0.45">
      <c r="A313" s="9" t="s">
        <v>595</v>
      </c>
      <c r="B313" s="10">
        <v>1551776</v>
      </c>
      <c r="C313" s="10">
        <v>1794161</v>
      </c>
      <c r="D313" s="10">
        <v>1721107</v>
      </c>
      <c r="E313" s="10">
        <v>2167833</v>
      </c>
      <c r="F313" s="10">
        <v>2662140</v>
      </c>
      <c r="G313" s="10">
        <v>4227774</v>
      </c>
    </row>
    <row r="314" spans="1:7" x14ac:dyDescent="0.45">
      <c r="A314" s="9" t="s">
        <v>596</v>
      </c>
      <c r="B314" s="10">
        <v>1055007</v>
      </c>
      <c r="C314" s="10">
        <v>828767</v>
      </c>
      <c r="D314" s="10">
        <v>822754</v>
      </c>
      <c r="E314" s="10">
        <v>1070902</v>
      </c>
      <c r="F314" s="10">
        <v>1123862</v>
      </c>
      <c r="G314" s="10">
        <v>1731258</v>
      </c>
    </row>
    <row r="315" spans="1:7" x14ac:dyDescent="0.45">
      <c r="A315" s="9" t="s">
        <v>597</v>
      </c>
      <c r="B315" s="10">
        <v>1484022</v>
      </c>
      <c r="C315" s="10">
        <v>1748451</v>
      </c>
      <c r="D315" s="10">
        <v>2021254</v>
      </c>
      <c r="E315" s="10">
        <v>2053801</v>
      </c>
      <c r="F315" s="10">
        <v>2839324</v>
      </c>
      <c r="G315" s="10">
        <v>4127489</v>
      </c>
    </row>
    <row r="316" spans="1:7" x14ac:dyDescent="0.45">
      <c r="A316" s="9" t="s">
        <v>598</v>
      </c>
      <c r="B316" s="10">
        <v>389655</v>
      </c>
      <c r="C316" s="10">
        <v>365645</v>
      </c>
      <c r="D316" s="10">
        <v>400895</v>
      </c>
      <c r="E316" s="10">
        <v>495221</v>
      </c>
      <c r="F316" s="10">
        <v>488284</v>
      </c>
      <c r="G316" s="10">
        <v>702478</v>
      </c>
    </row>
    <row r="317" spans="1:7" x14ac:dyDescent="0.45">
      <c r="A317" s="9" t="s">
        <v>599</v>
      </c>
      <c r="B317" s="10">
        <v>389655</v>
      </c>
      <c r="C317" s="10">
        <v>365645</v>
      </c>
      <c r="D317" s="10">
        <v>400895</v>
      </c>
      <c r="E317" s="10">
        <v>495221</v>
      </c>
      <c r="F317" s="10">
        <v>488284</v>
      </c>
      <c r="G317" s="10">
        <v>702478</v>
      </c>
    </row>
    <row r="318" spans="1:7" x14ac:dyDescent="0.45">
      <c r="A318" s="9" t="s">
        <v>600</v>
      </c>
      <c r="B318" s="10">
        <v>4091456</v>
      </c>
      <c r="C318" s="10">
        <v>4185301</v>
      </c>
      <c r="D318" s="10">
        <v>4764821</v>
      </c>
      <c r="E318" s="10">
        <v>5616620</v>
      </c>
      <c r="F318" s="10">
        <v>6397479</v>
      </c>
      <c r="G318" s="10">
        <v>7025412</v>
      </c>
    </row>
    <row r="319" spans="1:7" x14ac:dyDescent="0.45">
      <c r="A319" s="9" t="s">
        <v>601</v>
      </c>
      <c r="B319" s="10">
        <v>2821899</v>
      </c>
      <c r="C319" s="10">
        <v>2857020</v>
      </c>
      <c r="D319" s="10">
        <v>3253173</v>
      </c>
      <c r="E319" s="10">
        <v>3806073</v>
      </c>
      <c r="F319" s="10">
        <v>4130391</v>
      </c>
      <c r="G319" s="10">
        <v>4692271</v>
      </c>
    </row>
    <row r="320" spans="1:7" x14ac:dyDescent="0.45">
      <c r="A320" s="9" t="s">
        <v>602</v>
      </c>
      <c r="B320" s="10">
        <v>1269557</v>
      </c>
      <c r="C320" s="10">
        <v>1328281</v>
      </c>
      <c r="D320" s="10">
        <v>1511648</v>
      </c>
      <c r="E320" s="10">
        <v>1810547</v>
      </c>
      <c r="F320" s="10">
        <v>2267088</v>
      </c>
      <c r="G320" s="10">
        <v>2333141</v>
      </c>
    </row>
    <row r="321" spans="1:7" x14ac:dyDescent="0.45">
      <c r="A321" s="9" t="s">
        <v>275</v>
      </c>
      <c r="B321" s="10">
        <v>868769</v>
      </c>
      <c r="C321" s="10">
        <v>1070252</v>
      </c>
      <c r="D321" s="10">
        <v>995509</v>
      </c>
      <c r="E321" s="10">
        <v>920256</v>
      </c>
      <c r="F321" s="10">
        <v>961999</v>
      </c>
      <c r="G321" s="10">
        <v>1237053</v>
      </c>
    </row>
    <row r="322" spans="1:7" x14ac:dyDescent="0.45">
      <c r="A322" s="9" t="s">
        <v>276</v>
      </c>
      <c r="B322" s="10">
        <v>868769</v>
      </c>
      <c r="C322" s="10">
        <v>1070252</v>
      </c>
      <c r="D322" s="10">
        <v>995509</v>
      </c>
      <c r="E322" s="10">
        <v>920256</v>
      </c>
      <c r="F322" s="10">
        <v>961999</v>
      </c>
      <c r="G322" s="10">
        <v>1237053</v>
      </c>
    </row>
    <row r="323" spans="1:7" x14ac:dyDescent="0.45">
      <c r="A323" s="143" t="s">
        <v>42</v>
      </c>
      <c r="B323" s="10">
        <v>29994634</v>
      </c>
      <c r="C323" s="10">
        <v>29787040</v>
      </c>
      <c r="D323" s="10">
        <v>32861173</v>
      </c>
      <c r="E323" s="10">
        <v>36523489</v>
      </c>
      <c r="F323" s="10">
        <v>41275128</v>
      </c>
      <c r="G323" s="10">
        <v>61869550</v>
      </c>
    </row>
    <row r="324" spans="1:7" x14ac:dyDescent="0.45">
      <c r="A324" s="9" t="s">
        <v>603</v>
      </c>
      <c r="B324" s="10">
        <v>8312883</v>
      </c>
      <c r="C324" s="10">
        <v>5453130</v>
      </c>
      <c r="D324" s="10">
        <v>6201919</v>
      </c>
      <c r="E324" s="10">
        <v>7040220</v>
      </c>
      <c r="F324" s="10">
        <v>8167097</v>
      </c>
      <c r="G324" s="10">
        <v>10376262</v>
      </c>
    </row>
    <row r="325" spans="1:7" x14ac:dyDescent="0.45">
      <c r="A325" s="9" t="s">
        <v>604</v>
      </c>
      <c r="B325" s="10">
        <v>3379393</v>
      </c>
      <c r="C325" s="10">
        <v>321142</v>
      </c>
      <c r="D325" s="10">
        <v>367175</v>
      </c>
      <c r="E325" s="10">
        <v>638648</v>
      </c>
      <c r="F325" s="10">
        <v>555557</v>
      </c>
      <c r="G325" s="10">
        <v>375852</v>
      </c>
    </row>
    <row r="326" spans="1:7" x14ac:dyDescent="0.45">
      <c r="A326" s="9" t="s">
        <v>605</v>
      </c>
      <c r="B326" s="10">
        <v>1824226</v>
      </c>
      <c r="C326" s="10">
        <v>1653538</v>
      </c>
      <c r="D326" s="10">
        <v>1976180</v>
      </c>
      <c r="E326" s="10">
        <v>2008337</v>
      </c>
      <c r="F326" s="10">
        <v>2589018</v>
      </c>
      <c r="G326" s="10">
        <v>3651366</v>
      </c>
    </row>
    <row r="327" spans="1:7" x14ac:dyDescent="0.45">
      <c r="A327" s="9" t="s">
        <v>606</v>
      </c>
      <c r="B327" s="10">
        <v>1121019</v>
      </c>
      <c r="C327" s="10">
        <v>1281804</v>
      </c>
      <c r="D327" s="10">
        <v>1330406</v>
      </c>
      <c r="E327" s="10">
        <v>1548642</v>
      </c>
      <c r="F327" s="10">
        <v>1899216</v>
      </c>
      <c r="G327" s="10">
        <v>2406224</v>
      </c>
    </row>
    <row r="328" spans="1:7" x14ac:dyDescent="0.45">
      <c r="A328" s="9" t="s">
        <v>607</v>
      </c>
      <c r="B328" s="10">
        <v>1052976</v>
      </c>
      <c r="C328" s="10">
        <v>1132503</v>
      </c>
      <c r="D328" s="10">
        <v>1416546</v>
      </c>
      <c r="E328" s="10">
        <v>1821641</v>
      </c>
      <c r="F328" s="10">
        <v>1880319</v>
      </c>
      <c r="G328" s="10">
        <v>2258137</v>
      </c>
    </row>
    <row r="329" spans="1:7" x14ac:dyDescent="0.45">
      <c r="A329" s="9" t="s">
        <v>608</v>
      </c>
      <c r="B329" s="10">
        <v>935269</v>
      </c>
      <c r="C329" s="10">
        <v>1064143</v>
      </c>
      <c r="D329" s="10">
        <v>1111612</v>
      </c>
      <c r="E329" s="10">
        <v>1022952</v>
      </c>
      <c r="F329" s="10">
        <v>1242987</v>
      </c>
      <c r="G329" s="10">
        <v>1684683</v>
      </c>
    </row>
    <row r="330" spans="1:7" x14ac:dyDescent="0.45">
      <c r="A330" s="9" t="s">
        <v>609</v>
      </c>
      <c r="B330" s="10">
        <v>7986059</v>
      </c>
      <c r="C330" s="10">
        <v>8184675</v>
      </c>
      <c r="D330" s="10">
        <v>8432285</v>
      </c>
      <c r="E330" s="10">
        <v>10183689</v>
      </c>
      <c r="F330" s="10">
        <v>11604549</v>
      </c>
      <c r="G330" s="10">
        <v>15153856</v>
      </c>
    </row>
    <row r="331" spans="1:7" x14ac:dyDescent="0.45">
      <c r="A331" s="9" t="s">
        <v>610</v>
      </c>
      <c r="B331" s="10">
        <v>377778</v>
      </c>
      <c r="C331" s="10">
        <v>391372</v>
      </c>
      <c r="D331" s="10">
        <v>438822</v>
      </c>
      <c r="E331" s="10">
        <v>484360</v>
      </c>
      <c r="F331" s="10">
        <v>512901</v>
      </c>
      <c r="G331" s="10">
        <v>632349</v>
      </c>
    </row>
    <row r="332" spans="1:7" x14ac:dyDescent="0.45">
      <c r="A332" s="9" t="s">
        <v>278</v>
      </c>
      <c r="B332" s="10">
        <v>3483807</v>
      </c>
      <c r="C332" s="10">
        <v>3277766</v>
      </c>
      <c r="D332" s="10">
        <v>3095143</v>
      </c>
      <c r="E332" s="10">
        <v>3727096</v>
      </c>
      <c r="F332" s="10">
        <v>4321468</v>
      </c>
      <c r="G332" s="10">
        <v>5311876</v>
      </c>
    </row>
    <row r="333" spans="1:7" x14ac:dyDescent="0.45">
      <c r="A333" s="9" t="s">
        <v>611</v>
      </c>
      <c r="B333" s="10">
        <v>1121809</v>
      </c>
      <c r="C333" s="10">
        <v>1273839</v>
      </c>
      <c r="D333" s="10">
        <v>1211128</v>
      </c>
      <c r="E333" s="10">
        <v>1527450</v>
      </c>
      <c r="F333" s="10">
        <v>1432423</v>
      </c>
      <c r="G333" s="10">
        <v>1972274</v>
      </c>
    </row>
    <row r="334" spans="1:7" x14ac:dyDescent="0.45">
      <c r="A334" s="9" t="s">
        <v>612</v>
      </c>
      <c r="B334" s="10">
        <v>516025</v>
      </c>
      <c r="C334" s="10">
        <v>798851</v>
      </c>
      <c r="D334" s="10">
        <v>1018721</v>
      </c>
      <c r="E334" s="10">
        <v>1137067</v>
      </c>
      <c r="F334" s="10">
        <v>1175477</v>
      </c>
      <c r="G334" s="10">
        <v>2278718</v>
      </c>
    </row>
    <row r="335" spans="1:7" x14ac:dyDescent="0.45">
      <c r="A335" s="9" t="s">
        <v>613</v>
      </c>
      <c r="B335" s="10">
        <v>270549</v>
      </c>
      <c r="C335" s="10">
        <v>214913</v>
      </c>
      <c r="D335" s="10">
        <v>255121</v>
      </c>
      <c r="E335" s="10">
        <v>345186</v>
      </c>
      <c r="F335" s="10">
        <v>399791</v>
      </c>
      <c r="G335" s="10">
        <v>412232</v>
      </c>
    </row>
    <row r="336" spans="1:7" x14ac:dyDescent="0.45">
      <c r="A336" s="9" t="s">
        <v>279</v>
      </c>
      <c r="B336" s="10">
        <v>2216091</v>
      </c>
      <c r="C336" s="10">
        <v>2227934</v>
      </c>
      <c r="D336" s="10">
        <v>2413350</v>
      </c>
      <c r="E336" s="10">
        <v>2962530</v>
      </c>
      <c r="F336" s="10">
        <v>3762489</v>
      </c>
      <c r="G336" s="10">
        <v>4546407</v>
      </c>
    </row>
    <row r="337" spans="1:7" x14ac:dyDescent="0.45">
      <c r="A337" s="9" t="s">
        <v>614</v>
      </c>
      <c r="B337" s="10">
        <v>5375277</v>
      </c>
      <c r="C337" s="10">
        <v>7105862</v>
      </c>
      <c r="D337" s="10">
        <v>7530467</v>
      </c>
      <c r="E337" s="10">
        <v>6786473</v>
      </c>
      <c r="F337" s="10">
        <v>8459869</v>
      </c>
      <c r="G337" s="10">
        <v>18062126</v>
      </c>
    </row>
    <row r="338" spans="1:7" x14ac:dyDescent="0.45">
      <c r="A338" s="143" t="s">
        <v>45</v>
      </c>
      <c r="B338" s="10">
        <v>625434</v>
      </c>
      <c r="C338" s="10">
        <v>1902638</v>
      </c>
      <c r="D338" s="10">
        <v>539084</v>
      </c>
      <c r="E338" s="10">
        <v>-28020</v>
      </c>
      <c r="F338" s="10">
        <v>304618</v>
      </c>
      <c r="G338" s="10">
        <v>4057844</v>
      </c>
    </row>
    <row r="339" spans="1:7" x14ac:dyDescent="0.45">
      <c r="A339" s="9" t="s">
        <v>46</v>
      </c>
      <c r="B339" s="10">
        <v>295031</v>
      </c>
      <c r="C339" s="10">
        <v>335920</v>
      </c>
      <c r="D339" s="10">
        <v>286400</v>
      </c>
      <c r="E339" s="10">
        <v>382954</v>
      </c>
      <c r="F339" s="10">
        <v>518981</v>
      </c>
      <c r="G339" s="10">
        <v>799589</v>
      </c>
    </row>
    <row r="340" spans="1:7" x14ac:dyDescent="0.45">
      <c r="A340" s="143" t="s">
        <v>47</v>
      </c>
      <c r="B340" s="10">
        <v>4454812</v>
      </c>
      <c r="C340" s="10">
        <v>4867304</v>
      </c>
      <c r="D340" s="10">
        <v>6704983</v>
      </c>
      <c r="E340" s="10">
        <v>6431539</v>
      </c>
      <c r="F340" s="10">
        <v>7636270</v>
      </c>
      <c r="G340" s="10">
        <v>13204693</v>
      </c>
    </row>
    <row r="341" spans="1:7" x14ac:dyDescent="0.45">
      <c r="A341" s="9" t="s">
        <v>615</v>
      </c>
      <c r="B341" s="10">
        <v>1609353</v>
      </c>
      <c r="C341" s="10">
        <v>1887445</v>
      </c>
      <c r="D341" s="10">
        <v>2021575</v>
      </c>
      <c r="E341" s="10">
        <v>2677624</v>
      </c>
      <c r="F341" s="10">
        <v>2916912</v>
      </c>
      <c r="G341" s="10">
        <v>3557915</v>
      </c>
    </row>
    <row r="342" spans="1:7" x14ac:dyDescent="0.45">
      <c r="A342" s="9" t="s">
        <v>280</v>
      </c>
      <c r="B342" s="10">
        <v>1609353</v>
      </c>
      <c r="C342" s="10">
        <v>1887445</v>
      </c>
      <c r="D342" s="10">
        <v>2021575</v>
      </c>
      <c r="E342" s="10">
        <v>2677624</v>
      </c>
      <c r="F342" s="10">
        <v>2916912</v>
      </c>
      <c r="G342" s="10">
        <v>3557915</v>
      </c>
    </row>
    <row r="343" spans="1:7" x14ac:dyDescent="0.45">
      <c r="A343" s="9" t="s">
        <v>616</v>
      </c>
      <c r="B343" s="10">
        <v>3621159</v>
      </c>
      <c r="C343" s="10">
        <v>3841045</v>
      </c>
      <c r="D343" s="10">
        <v>5021546</v>
      </c>
      <c r="E343" s="10">
        <v>5637671</v>
      </c>
      <c r="F343" s="10">
        <v>5642430</v>
      </c>
      <c r="G343" s="10">
        <v>8290243</v>
      </c>
    </row>
    <row r="344" spans="1:7" x14ac:dyDescent="0.45">
      <c r="A344" s="9" t="s">
        <v>617</v>
      </c>
      <c r="B344" s="10">
        <v>1511643</v>
      </c>
      <c r="C344" s="10">
        <v>895540</v>
      </c>
      <c r="D344" s="10">
        <v>1037087</v>
      </c>
      <c r="E344" s="10">
        <v>1290657</v>
      </c>
      <c r="F344" s="10">
        <v>1217261</v>
      </c>
      <c r="G344" s="10">
        <v>2085665</v>
      </c>
    </row>
    <row r="345" spans="1:7" x14ac:dyDescent="0.45">
      <c r="A345" s="9" t="s">
        <v>281</v>
      </c>
      <c r="B345" s="10">
        <v>642723</v>
      </c>
      <c r="C345" s="10">
        <v>630270</v>
      </c>
      <c r="D345" s="10">
        <v>762079</v>
      </c>
      <c r="E345" s="10">
        <v>1213484</v>
      </c>
      <c r="F345" s="10">
        <v>1236537</v>
      </c>
      <c r="G345" s="10">
        <v>1545783</v>
      </c>
    </row>
    <row r="346" spans="1:7" x14ac:dyDescent="0.45">
      <c r="A346" s="9" t="s">
        <v>618</v>
      </c>
      <c r="B346" s="10">
        <v>51745</v>
      </c>
      <c r="C346" s="10">
        <v>62516</v>
      </c>
      <c r="D346" s="10">
        <v>57914</v>
      </c>
      <c r="E346" s="10">
        <v>90271</v>
      </c>
      <c r="F346" s="10">
        <v>144103</v>
      </c>
      <c r="G346" s="10">
        <v>95300</v>
      </c>
    </row>
    <row r="347" spans="1:7" x14ac:dyDescent="0.45">
      <c r="A347" s="9" t="s">
        <v>619</v>
      </c>
      <c r="B347" s="10">
        <v>1415048</v>
      </c>
      <c r="C347" s="10">
        <v>2252719</v>
      </c>
      <c r="D347" s="10">
        <v>3164466</v>
      </c>
      <c r="E347" s="10">
        <v>3043259</v>
      </c>
      <c r="F347" s="10">
        <v>3044529</v>
      </c>
      <c r="G347" s="10">
        <v>4563495</v>
      </c>
    </row>
    <row r="348" spans="1:7" x14ac:dyDescent="0.45">
      <c r="A348" s="9" t="s">
        <v>620</v>
      </c>
      <c r="B348" s="10">
        <v>3089903</v>
      </c>
      <c r="C348" s="10">
        <v>3314883</v>
      </c>
      <c r="D348" s="10">
        <v>3653381</v>
      </c>
      <c r="E348" s="10">
        <v>4197812</v>
      </c>
      <c r="F348" s="10">
        <v>4484271</v>
      </c>
      <c r="G348" s="10">
        <v>6429148</v>
      </c>
    </row>
    <row r="349" spans="1:7" x14ac:dyDescent="0.45">
      <c r="A349" s="9" t="s">
        <v>621</v>
      </c>
      <c r="B349" s="10">
        <v>122954</v>
      </c>
      <c r="C349" s="10">
        <v>152649</v>
      </c>
      <c r="D349" s="10">
        <v>132149</v>
      </c>
      <c r="E349" s="10">
        <v>165688</v>
      </c>
      <c r="F349" s="10">
        <v>160632</v>
      </c>
      <c r="G349" s="10">
        <v>242142</v>
      </c>
    </row>
    <row r="350" spans="1:7" x14ac:dyDescent="0.45">
      <c r="A350" s="9" t="s">
        <v>282</v>
      </c>
      <c r="B350" s="10">
        <v>1188239</v>
      </c>
      <c r="C350" s="10">
        <v>1331198</v>
      </c>
      <c r="D350" s="10">
        <v>1473356</v>
      </c>
      <c r="E350" s="10">
        <v>1621462</v>
      </c>
      <c r="F350" s="10">
        <v>1615605</v>
      </c>
      <c r="G350" s="10">
        <v>2246392</v>
      </c>
    </row>
    <row r="351" spans="1:7" x14ac:dyDescent="0.45">
      <c r="A351" s="9" t="s">
        <v>622</v>
      </c>
      <c r="B351" s="10">
        <v>92945</v>
      </c>
      <c r="C351" s="10">
        <v>109206</v>
      </c>
      <c r="D351" s="10">
        <v>141105</v>
      </c>
      <c r="E351" s="10">
        <v>152480</v>
      </c>
      <c r="F351" s="10">
        <v>90547</v>
      </c>
      <c r="G351" s="10">
        <v>190591</v>
      </c>
    </row>
    <row r="352" spans="1:7" x14ac:dyDescent="0.45">
      <c r="A352" s="9" t="s">
        <v>623</v>
      </c>
      <c r="B352" s="10">
        <v>139244</v>
      </c>
      <c r="C352" s="10">
        <v>131635</v>
      </c>
      <c r="D352" s="10">
        <v>149282</v>
      </c>
      <c r="E352" s="10">
        <v>139329</v>
      </c>
      <c r="F352" s="10">
        <v>136911</v>
      </c>
      <c r="G352" s="10">
        <v>201077</v>
      </c>
    </row>
    <row r="353" spans="1:7" x14ac:dyDescent="0.45">
      <c r="A353" s="9" t="s">
        <v>624</v>
      </c>
      <c r="B353" s="10">
        <v>342301</v>
      </c>
      <c r="C353" s="10">
        <v>415843</v>
      </c>
      <c r="D353" s="10">
        <v>434969</v>
      </c>
      <c r="E353" s="10">
        <v>444351</v>
      </c>
      <c r="F353" s="10">
        <v>648651</v>
      </c>
      <c r="G353" s="10">
        <v>826385</v>
      </c>
    </row>
    <row r="354" spans="1:7" x14ac:dyDescent="0.45">
      <c r="A354" s="9" t="s">
        <v>625</v>
      </c>
      <c r="B354" s="10">
        <v>85640</v>
      </c>
      <c r="C354" s="10">
        <v>94569</v>
      </c>
      <c r="D354" s="10">
        <v>101165</v>
      </c>
      <c r="E354" s="10">
        <v>163289</v>
      </c>
      <c r="F354" s="10">
        <v>203829</v>
      </c>
      <c r="G354" s="10">
        <v>220811</v>
      </c>
    </row>
    <row r="355" spans="1:7" x14ac:dyDescent="0.45">
      <c r="A355" s="9" t="s">
        <v>283</v>
      </c>
      <c r="B355" s="10">
        <v>1118580</v>
      </c>
      <c r="C355" s="10">
        <v>1079783</v>
      </c>
      <c r="D355" s="10">
        <v>1221355</v>
      </c>
      <c r="E355" s="10">
        <v>1511213</v>
      </c>
      <c r="F355" s="10">
        <v>1628096</v>
      </c>
      <c r="G355" s="10">
        <v>2501750</v>
      </c>
    </row>
    <row r="356" spans="1:7" x14ac:dyDescent="0.45">
      <c r="A356" s="9" t="s">
        <v>249</v>
      </c>
      <c r="B356" s="10">
        <v>36797932</v>
      </c>
      <c r="C356" s="10">
        <v>52028937</v>
      </c>
      <c r="D356" s="10">
        <v>57856225</v>
      </c>
      <c r="E356" s="10">
        <v>58733323</v>
      </c>
      <c r="F356" s="10">
        <v>41787925</v>
      </c>
      <c r="G356" s="10">
        <v>74960391</v>
      </c>
    </row>
    <row r="357" spans="1:7" x14ac:dyDescent="0.45">
      <c r="A357" s="9" t="s">
        <v>250</v>
      </c>
      <c r="B357" s="10">
        <v>11909027</v>
      </c>
      <c r="C357" s="10">
        <v>19744468</v>
      </c>
      <c r="D357" s="10">
        <v>19240760</v>
      </c>
      <c r="E357" s="10">
        <v>15780139</v>
      </c>
      <c r="F357" s="10">
        <v>8316692</v>
      </c>
      <c r="G357" s="10">
        <v>19774165</v>
      </c>
    </row>
    <row r="358" spans="1:7" x14ac:dyDescent="0.45">
      <c r="A358" s="9" t="s">
        <v>251</v>
      </c>
      <c r="B358" s="10">
        <v>11909027</v>
      </c>
      <c r="C358" s="10">
        <v>19744468</v>
      </c>
      <c r="D358" s="10">
        <v>19240760</v>
      </c>
      <c r="E358" s="10">
        <v>15780139</v>
      </c>
      <c r="F358" s="10">
        <v>8316692</v>
      </c>
      <c r="G358" s="10">
        <v>19774165</v>
      </c>
    </row>
    <row r="359" spans="1:7" x14ac:dyDescent="0.45">
      <c r="A359" s="9" t="s">
        <v>252</v>
      </c>
      <c r="B359" s="10">
        <v>2580482</v>
      </c>
      <c r="C359" s="10">
        <v>4301230</v>
      </c>
      <c r="D359" s="10">
        <v>5758591</v>
      </c>
      <c r="E359" s="10">
        <v>6401516</v>
      </c>
      <c r="F359" s="10">
        <v>5151222</v>
      </c>
      <c r="G359" s="10">
        <v>10679567</v>
      </c>
    </row>
    <row r="360" spans="1:7" x14ac:dyDescent="0.45">
      <c r="A360" s="9" t="s">
        <v>626</v>
      </c>
      <c r="B360" s="10">
        <v>2580482</v>
      </c>
      <c r="C360" s="10">
        <v>4301230</v>
      </c>
      <c r="D360" s="10">
        <v>5758591</v>
      </c>
      <c r="E360" s="10">
        <v>6401516</v>
      </c>
      <c r="F360" s="10">
        <v>5151222</v>
      </c>
      <c r="G360" s="10">
        <v>10679567</v>
      </c>
    </row>
    <row r="361" spans="1:7" x14ac:dyDescent="0.45">
      <c r="A361" s="9" t="s">
        <v>627</v>
      </c>
      <c r="B361" s="10">
        <v>1880070</v>
      </c>
      <c r="C361" s="10">
        <v>2305600</v>
      </c>
      <c r="D361" s="10">
        <v>4117542</v>
      </c>
      <c r="E361" s="10">
        <v>5360354</v>
      </c>
      <c r="F361" s="10">
        <v>4274428</v>
      </c>
      <c r="G361" s="10">
        <v>5241013</v>
      </c>
    </row>
    <row r="362" spans="1:7" x14ac:dyDescent="0.45">
      <c r="A362" s="9" t="s">
        <v>628</v>
      </c>
      <c r="B362" s="10">
        <v>1880070</v>
      </c>
      <c r="C362" s="10">
        <v>2305600</v>
      </c>
      <c r="D362" s="10">
        <v>4117542</v>
      </c>
      <c r="E362" s="10">
        <v>5360354</v>
      </c>
      <c r="F362" s="10">
        <v>4274428</v>
      </c>
      <c r="G362" s="10">
        <v>5241013</v>
      </c>
    </row>
    <row r="363" spans="1:7" x14ac:dyDescent="0.45">
      <c r="A363" s="9" t="s">
        <v>253</v>
      </c>
      <c r="B363" s="10">
        <v>20335375</v>
      </c>
      <c r="C363" s="10">
        <v>25595889</v>
      </c>
      <c r="D363" s="10">
        <v>28663944</v>
      </c>
      <c r="E363" s="10">
        <v>31120297</v>
      </c>
      <c r="F363" s="10">
        <v>23959853</v>
      </c>
      <c r="G363" s="10">
        <v>39174467</v>
      </c>
    </row>
    <row r="364" spans="1:7" x14ac:dyDescent="0.45">
      <c r="A364" s="9" t="s">
        <v>629</v>
      </c>
      <c r="B364" s="10">
        <v>3913203</v>
      </c>
      <c r="C364" s="10">
        <v>4382660</v>
      </c>
      <c r="D364" s="10">
        <v>4963525</v>
      </c>
      <c r="E364" s="10">
        <v>5913590</v>
      </c>
      <c r="F364" s="10">
        <v>6850380</v>
      </c>
      <c r="G364" s="10">
        <v>9021416</v>
      </c>
    </row>
    <row r="365" spans="1:7" x14ac:dyDescent="0.45">
      <c r="A365" s="9" t="s">
        <v>630</v>
      </c>
      <c r="B365" s="10">
        <v>1990818</v>
      </c>
      <c r="C365" s="10">
        <v>2570996</v>
      </c>
      <c r="D365" s="10">
        <v>2829057</v>
      </c>
      <c r="E365" s="10">
        <v>2960717</v>
      </c>
      <c r="F365" s="10">
        <v>1937302</v>
      </c>
      <c r="G365" s="10">
        <v>3618780</v>
      </c>
    </row>
    <row r="366" spans="1:7" x14ac:dyDescent="0.45">
      <c r="A366" s="9" t="s">
        <v>631</v>
      </c>
      <c r="B366" s="10">
        <v>782621</v>
      </c>
      <c r="C366" s="10">
        <v>1032364</v>
      </c>
      <c r="D366" s="10">
        <v>1183881</v>
      </c>
      <c r="E366" s="10">
        <v>1370586</v>
      </c>
      <c r="F366" s="10">
        <v>1463887</v>
      </c>
      <c r="G366" s="10">
        <v>2242316</v>
      </c>
    </row>
    <row r="367" spans="1:7" x14ac:dyDescent="0.45">
      <c r="A367" s="9" t="s">
        <v>632</v>
      </c>
      <c r="B367" s="10">
        <v>1621111</v>
      </c>
      <c r="C367" s="10">
        <v>2078636</v>
      </c>
      <c r="D367" s="10">
        <v>2661233</v>
      </c>
      <c r="E367" s="10">
        <v>3169977</v>
      </c>
      <c r="F367" s="10">
        <v>2569287</v>
      </c>
      <c r="G367" s="10">
        <v>4308432</v>
      </c>
    </row>
    <row r="368" spans="1:7" x14ac:dyDescent="0.45">
      <c r="A368" s="9" t="s">
        <v>277</v>
      </c>
      <c r="B368" s="10">
        <v>4055081</v>
      </c>
      <c r="C368" s="10">
        <v>4792923</v>
      </c>
      <c r="D368" s="10">
        <v>5237891</v>
      </c>
      <c r="E368" s="10">
        <v>4615430</v>
      </c>
      <c r="F368" s="10">
        <v>2626997</v>
      </c>
      <c r="G368" s="10">
        <v>4433409</v>
      </c>
    </row>
    <row r="369" spans="1:7" x14ac:dyDescent="0.45">
      <c r="A369" s="9" t="s">
        <v>633</v>
      </c>
      <c r="B369" s="10">
        <v>7972541</v>
      </c>
      <c r="C369" s="10">
        <v>10738310</v>
      </c>
      <c r="D369" s="10">
        <v>11788357</v>
      </c>
      <c r="E369" s="10">
        <v>13089997</v>
      </c>
      <c r="F369" s="10">
        <v>8512000</v>
      </c>
      <c r="G369" s="10">
        <v>15550114</v>
      </c>
    </row>
    <row r="370" spans="1:7" x14ac:dyDescent="0.45">
      <c r="A370" s="9" t="s">
        <v>254</v>
      </c>
      <c r="B370" s="10">
        <v>92978</v>
      </c>
      <c r="C370" s="10">
        <v>81750</v>
      </c>
      <c r="D370" s="10">
        <v>75388</v>
      </c>
      <c r="E370" s="10">
        <v>71017</v>
      </c>
      <c r="F370" s="10">
        <v>85730</v>
      </c>
      <c r="G370" s="10">
        <v>91179</v>
      </c>
    </row>
    <row r="371" spans="1:7" x14ac:dyDescent="0.45">
      <c r="A371" s="9" t="s">
        <v>634</v>
      </c>
      <c r="B371" s="10">
        <v>92978</v>
      </c>
      <c r="C371" s="10">
        <v>81750</v>
      </c>
      <c r="D371" s="10">
        <v>75388</v>
      </c>
      <c r="E371" s="10">
        <v>71017</v>
      </c>
      <c r="F371" s="10">
        <v>85730</v>
      </c>
      <c r="G371" s="10">
        <v>91179</v>
      </c>
    </row>
    <row r="372" spans="1:7" x14ac:dyDescent="0.45">
      <c r="A372" s="9" t="s">
        <v>255</v>
      </c>
      <c r="B372" s="10">
        <v>11518346</v>
      </c>
      <c r="C372" s="10">
        <v>11772218</v>
      </c>
      <c r="D372" s="10">
        <v>10065293</v>
      </c>
      <c r="E372" s="10">
        <v>11810640</v>
      </c>
      <c r="F372" s="10">
        <v>7201477</v>
      </c>
      <c r="G372" s="10">
        <v>10982864</v>
      </c>
    </row>
    <row r="373" spans="1:7" x14ac:dyDescent="0.45">
      <c r="A373" s="9" t="s">
        <v>256</v>
      </c>
      <c r="B373" s="10">
        <v>2617211</v>
      </c>
      <c r="C373" s="10">
        <v>2783475</v>
      </c>
      <c r="D373" s="10">
        <v>2292915</v>
      </c>
      <c r="E373" s="10">
        <v>1638340</v>
      </c>
      <c r="F373" s="10">
        <v>1424572</v>
      </c>
      <c r="G373" s="10">
        <v>1994329</v>
      </c>
    </row>
    <row r="374" spans="1:7" x14ac:dyDescent="0.45">
      <c r="A374" s="9" t="s">
        <v>635</v>
      </c>
      <c r="B374" s="10">
        <v>2511425</v>
      </c>
      <c r="C374" s="10">
        <v>2640966</v>
      </c>
      <c r="D374" s="10">
        <v>2127412</v>
      </c>
      <c r="E374" s="10">
        <v>1464544</v>
      </c>
      <c r="F374" s="10">
        <v>1227745</v>
      </c>
      <c r="G374" s="10">
        <v>1740078</v>
      </c>
    </row>
    <row r="375" spans="1:7" x14ac:dyDescent="0.45">
      <c r="A375" s="9" t="s">
        <v>636</v>
      </c>
      <c r="B375" s="10">
        <v>105786</v>
      </c>
      <c r="C375" s="10">
        <v>142509</v>
      </c>
      <c r="D375" s="10">
        <v>165503</v>
      </c>
      <c r="E375" s="10">
        <v>173796</v>
      </c>
      <c r="F375" s="10">
        <v>196827</v>
      </c>
      <c r="G375" s="10">
        <v>254251</v>
      </c>
    </row>
    <row r="376" spans="1:7" x14ac:dyDescent="0.45">
      <c r="A376" s="9" t="s">
        <v>257</v>
      </c>
      <c r="B376" s="10">
        <v>1271342</v>
      </c>
      <c r="C376" s="10">
        <v>1053398</v>
      </c>
      <c r="D376" s="10" t="s">
        <v>34</v>
      </c>
      <c r="E376" s="10" t="s">
        <v>34</v>
      </c>
      <c r="F376" s="10" t="s">
        <v>34</v>
      </c>
      <c r="G376" s="10" t="s">
        <v>34</v>
      </c>
    </row>
    <row r="377" spans="1:7" x14ac:dyDescent="0.45">
      <c r="A377" s="9" t="s">
        <v>258</v>
      </c>
      <c r="B377" s="10">
        <v>987617</v>
      </c>
      <c r="C377" s="10">
        <v>605399</v>
      </c>
      <c r="D377" s="10" t="s">
        <v>34</v>
      </c>
      <c r="E377" s="10" t="s">
        <v>34</v>
      </c>
      <c r="F377" s="10" t="s">
        <v>34</v>
      </c>
      <c r="G377" s="10" t="s">
        <v>34</v>
      </c>
    </row>
    <row r="378" spans="1:7" x14ac:dyDescent="0.45">
      <c r="A378" s="9" t="s">
        <v>259</v>
      </c>
      <c r="B378" s="10">
        <v>283725</v>
      </c>
      <c r="C378" s="10">
        <v>447999</v>
      </c>
      <c r="D378" s="10">
        <v>485238</v>
      </c>
      <c r="E378" s="10">
        <v>344868</v>
      </c>
      <c r="F378" s="10">
        <v>335849</v>
      </c>
      <c r="G378" s="10">
        <v>455302</v>
      </c>
    </row>
    <row r="379" spans="1:7" x14ac:dyDescent="0.45">
      <c r="A379" s="9" t="s">
        <v>260</v>
      </c>
      <c r="B379" s="10" t="s">
        <v>34</v>
      </c>
      <c r="C379" s="10" t="s">
        <v>34</v>
      </c>
      <c r="D379" s="10">
        <v>3191397</v>
      </c>
      <c r="E379" s="10">
        <v>5107609</v>
      </c>
      <c r="F379" s="10">
        <v>1104004</v>
      </c>
      <c r="G379" s="10">
        <v>3464949</v>
      </c>
    </row>
    <row r="380" spans="1:7" x14ac:dyDescent="0.45">
      <c r="A380" s="9" t="s">
        <v>261</v>
      </c>
      <c r="B380" s="10" t="s">
        <v>34</v>
      </c>
      <c r="C380" s="10" t="s">
        <v>34</v>
      </c>
      <c r="D380" s="10">
        <v>2671649</v>
      </c>
      <c r="E380" s="10">
        <v>4470758</v>
      </c>
      <c r="F380" s="10">
        <v>673637</v>
      </c>
      <c r="G380" s="10">
        <v>3036690</v>
      </c>
    </row>
    <row r="381" spans="1:7" x14ac:dyDescent="0.45">
      <c r="A381" s="9" t="s">
        <v>262</v>
      </c>
      <c r="B381" s="10">
        <v>380601</v>
      </c>
      <c r="C381" s="10">
        <v>582458</v>
      </c>
      <c r="D381" s="10">
        <v>519748</v>
      </c>
      <c r="E381" s="10">
        <v>636851</v>
      </c>
      <c r="F381" s="10">
        <v>430367</v>
      </c>
      <c r="G381" s="10">
        <v>428259</v>
      </c>
    </row>
    <row r="382" spans="1:7" x14ac:dyDescent="0.45">
      <c r="A382" s="9" t="s">
        <v>637</v>
      </c>
      <c r="B382" s="10" t="s">
        <v>34</v>
      </c>
      <c r="C382" s="10" t="s">
        <v>34</v>
      </c>
      <c r="D382" s="10" t="s">
        <v>34</v>
      </c>
      <c r="E382" s="10" t="s">
        <v>34</v>
      </c>
      <c r="F382" s="10" t="s">
        <v>34</v>
      </c>
      <c r="G382" s="10" t="s">
        <v>34</v>
      </c>
    </row>
    <row r="383" spans="1:7" x14ac:dyDescent="0.45">
      <c r="A383" s="9" t="s">
        <v>638</v>
      </c>
      <c r="B383" s="10" t="s">
        <v>34</v>
      </c>
      <c r="C383" s="10" t="s">
        <v>34</v>
      </c>
      <c r="D383" s="10" t="s">
        <v>34</v>
      </c>
      <c r="E383" s="10" t="s">
        <v>34</v>
      </c>
      <c r="F383" s="10" t="s">
        <v>34</v>
      </c>
      <c r="G383" s="10" t="s">
        <v>34</v>
      </c>
    </row>
    <row r="384" spans="1:7" x14ac:dyDescent="0.45">
      <c r="A384" s="9" t="s">
        <v>263</v>
      </c>
      <c r="B384" s="10">
        <v>2431898</v>
      </c>
      <c r="C384" s="10">
        <v>3129035</v>
      </c>
      <c r="D384" s="10">
        <v>3351064</v>
      </c>
      <c r="E384" s="10">
        <v>3981170</v>
      </c>
      <c r="F384" s="10">
        <v>3510735</v>
      </c>
      <c r="G384" s="10">
        <v>4435537</v>
      </c>
    </row>
    <row r="385" spans="1:7" x14ac:dyDescent="0.45">
      <c r="A385" s="9" t="s">
        <v>264</v>
      </c>
      <c r="B385" s="10">
        <v>1969380</v>
      </c>
      <c r="C385" s="10">
        <v>2644581</v>
      </c>
      <c r="D385" s="10">
        <v>2797628</v>
      </c>
      <c r="E385" s="10">
        <v>3323382</v>
      </c>
      <c r="F385" s="10">
        <v>2670287</v>
      </c>
      <c r="G385" s="10">
        <v>3396491</v>
      </c>
    </row>
    <row r="386" spans="1:7" x14ac:dyDescent="0.45">
      <c r="A386" s="9" t="s">
        <v>265</v>
      </c>
      <c r="B386" s="10">
        <v>390807</v>
      </c>
      <c r="C386" s="10">
        <v>392459</v>
      </c>
      <c r="D386" s="10">
        <v>451655</v>
      </c>
      <c r="E386" s="10">
        <v>539153</v>
      </c>
      <c r="F386" s="10">
        <v>609742</v>
      </c>
      <c r="G386" s="10">
        <v>859120</v>
      </c>
    </row>
    <row r="387" spans="1:7" x14ac:dyDescent="0.45">
      <c r="A387" s="9" t="s">
        <v>266</v>
      </c>
      <c r="B387" s="10">
        <v>71711</v>
      </c>
      <c r="C387" s="10">
        <v>91995</v>
      </c>
      <c r="D387" s="10">
        <v>101781</v>
      </c>
      <c r="E387" s="10">
        <v>118635</v>
      </c>
      <c r="F387" s="10">
        <v>230706</v>
      </c>
      <c r="G387" s="10">
        <v>179926</v>
      </c>
    </row>
    <row r="388" spans="1:7" x14ac:dyDescent="0.45">
      <c r="A388" s="9" t="s">
        <v>639</v>
      </c>
      <c r="B388" s="10">
        <v>6578616</v>
      </c>
      <c r="C388" s="10">
        <v>7172271</v>
      </c>
      <c r="D388" s="10">
        <v>8138040</v>
      </c>
      <c r="E388" s="10">
        <v>8752784</v>
      </c>
      <c r="F388" s="10">
        <v>10296858</v>
      </c>
      <c r="G388" s="10">
        <v>11799681</v>
      </c>
    </row>
    <row r="389" spans="1:7" x14ac:dyDescent="0.45">
      <c r="A389" s="9" t="s">
        <v>640</v>
      </c>
      <c r="B389" s="10">
        <v>6578616</v>
      </c>
      <c r="C389" s="10">
        <v>7172271</v>
      </c>
      <c r="D389" s="10">
        <v>8138040</v>
      </c>
      <c r="E389" s="10">
        <v>8752784</v>
      </c>
      <c r="F389" s="10">
        <v>10296858</v>
      </c>
      <c r="G389" s="10">
        <v>11799681</v>
      </c>
    </row>
    <row r="390" spans="1:7" x14ac:dyDescent="0.45">
      <c r="A390" s="9" t="s">
        <v>641</v>
      </c>
      <c r="B390" s="10">
        <v>3951825</v>
      </c>
      <c r="C390" s="10">
        <v>4188226</v>
      </c>
      <c r="D390" s="10">
        <v>4755067</v>
      </c>
      <c r="E390" s="10">
        <v>5100131</v>
      </c>
      <c r="F390" s="10">
        <v>5956243</v>
      </c>
      <c r="G390" s="10">
        <v>7490435</v>
      </c>
    </row>
    <row r="391" spans="1:7" x14ac:dyDescent="0.45">
      <c r="A391" s="9" t="s">
        <v>642</v>
      </c>
      <c r="B391" s="10">
        <v>1215286</v>
      </c>
      <c r="C391" s="10">
        <v>1239755</v>
      </c>
      <c r="D391" s="10">
        <v>1640921</v>
      </c>
      <c r="E391" s="10">
        <v>1666911</v>
      </c>
      <c r="F391" s="10">
        <v>1899455</v>
      </c>
      <c r="G391" s="10">
        <v>2026409</v>
      </c>
    </row>
    <row r="392" spans="1:7" x14ac:dyDescent="0.45">
      <c r="A392" s="9" t="s">
        <v>643</v>
      </c>
      <c r="B392" s="10">
        <v>191870</v>
      </c>
      <c r="C392" s="10">
        <v>273733</v>
      </c>
      <c r="D392" s="10">
        <v>195808</v>
      </c>
      <c r="E392" s="10">
        <v>289983</v>
      </c>
      <c r="F392" s="10">
        <v>303077</v>
      </c>
      <c r="G392" s="10">
        <v>298608</v>
      </c>
    </row>
    <row r="393" spans="1:7" x14ac:dyDescent="0.45">
      <c r="A393" s="9" t="s">
        <v>644</v>
      </c>
      <c r="B393" s="10">
        <v>1219635</v>
      </c>
      <c r="C393" s="10">
        <v>1470557</v>
      </c>
      <c r="D393" s="10">
        <v>1546244</v>
      </c>
      <c r="E393" s="10">
        <v>1695759</v>
      </c>
      <c r="F393" s="10">
        <v>2138083</v>
      </c>
      <c r="G393" s="10">
        <v>1984229</v>
      </c>
    </row>
    <row r="394" spans="1:7" x14ac:dyDescent="0.45">
      <c r="A394" s="9" t="s">
        <v>645</v>
      </c>
      <c r="B394" s="10">
        <v>7834620</v>
      </c>
      <c r="C394" s="10">
        <v>7865847</v>
      </c>
      <c r="D394" s="10">
        <v>8422377</v>
      </c>
      <c r="E394" s="10">
        <v>9345173</v>
      </c>
      <c r="F394" s="10">
        <v>10604902</v>
      </c>
      <c r="G394" s="10">
        <v>12720704</v>
      </c>
    </row>
    <row r="395" spans="1:7" x14ac:dyDescent="0.45">
      <c r="A395" s="9" t="s">
        <v>646</v>
      </c>
      <c r="B395" s="10">
        <v>772434</v>
      </c>
      <c r="C395" s="10">
        <v>734912</v>
      </c>
      <c r="D395" s="10">
        <v>568660</v>
      </c>
      <c r="E395" s="10">
        <v>759991</v>
      </c>
      <c r="F395" s="10">
        <v>640892</v>
      </c>
      <c r="G395" s="10">
        <v>717751</v>
      </c>
    </row>
    <row r="396" spans="1:7" x14ac:dyDescent="0.45">
      <c r="A396" s="9" t="s">
        <v>647</v>
      </c>
      <c r="B396" s="10">
        <v>671686</v>
      </c>
      <c r="C396" s="10">
        <v>612970</v>
      </c>
      <c r="D396" s="10">
        <v>447639</v>
      </c>
      <c r="E396" s="10">
        <v>638636</v>
      </c>
      <c r="F396" s="10">
        <v>525760</v>
      </c>
      <c r="G396" s="10">
        <v>580256</v>
      </c>
    </row>
    <row r="397" spans="1:7" x14ac:dyDescent="0.45">
      <c r="A397" s="9" t="s">
        <v>648</v>
      </c>
      <c r="B397" s="10">
        <v>100748</v>
      </c>
      <c r="C397" s="10">
        <v>121942</v>
      </c>
      <c r="D397" s="10">
        <v>121021</v>
      </c>
      <c r="E397" s="10">
        <v>121355</v>
      </c>
      <c r="F397" s="10">
        <v>115132</v>
      </c>
      <c r="G397" s="10">
        <v>137495</v>
      </c>
    </row>
    <row r="398" spans="1:7" x14ac:dyDescent="0.45">
      <c r="A398" s="9" t="s">
        <v>649</v>
      </c>
      <c r="B398" s="10">
        <v>46742</v>
      </c>
      <c r="C398" s="10">
        <v>39093</v>
      </c>
      <c r="D398" s="10">
        <v>35939</v>
      </c>
      <c r="E398" s="10">
        <v>31571</v>
      </c>
      <c r="F398" s="10">
        <v>30756</v>
      </c>
      <c r="G398" s="10">
        <v>32145</v>
      </c>
    </row>
    <row r="399" spans="1:7" x14ac:dyDescent="0.45">
      <c r="A399" s="9" t="s">
        <v>650</v>
      </c>
      <c r="B399" s="10">
        <v>46742</v>
      </c>
      <c r="C399" s="10">
        <v>39093</v>
      </c>
      <c r="D399" s="10">
        <v>35939</v>
      </c>
      <c r="E399" s="10">
        <v>31571</v>
      </c>
      <c r="F399" s="10">
        <v>30756</v>
      </c>
      <c r="G399" s="10">
        <v>32145</v>
      </c>
    </row>
    <row r="400" spans="1:7" x14ac:dyDescent="0.45">
      <c r="A400" s="9" t="s">
        <v>651</v>
      </c>
      <c r="B400" s="10">
        <v>157220</v>
      </c>
      <c r="C400" s="10">
        <v>135372</v>
      </c>
      <c r="D400" s="10">
        <v>160457</v>
      </c>
      <c r="E400" s="10">
        <v>106841</v>
      </c>
      <c r="F400" s="10">
        <v>231528</v>
      </c>
      <c r="G400" s="10">
        <v>213238</v>
      </c>
    </row>
    <row r="401" spans="1:7" x14ac:dyDescent="0.45">
      <c r="A401" s="9" t="s">
        <v>652</v>
      </c>
      <c r="B401" s="10">
        <v>157220</v>
      </c>
      <c r="C401" s="10">
        <v>135372</v>
      </c>
      <c r="D401" s="10">
        <v>160457</v>
      </c>
      <c r="E401" s="10">
        <v>106841</v>
      </c>
      <c r="F401" s="10">
        <v>231528</v>
      </c>
      <c r="G401" s="10">
        <v>213238</v>
      </c>
    </row>
    <row r="402" spans="1:7" x14ac:dyDescent="0.45">
      <c r="A402" s="9" t="s">
        <v>653</v>
      </c>
      <c r="B402" s="10">
        <v>559195</v>
      </c>
      <c r="C402" s="10">
        <v>625141</v>
      </c>
      <c r="D402" s="10">
        <v>616386</v>
      </c>
      <c r="E402" s="10">
        <v>720006</v>
      </c>
      <c r="F402" s="10">
        <v>765822</v>
      </c>
      <c r="G402" s="10">
        <v>945818</v>
      </c>
    </row>
    <row r="403" spans="1:7" x14ac:dyDescent="0.45">
      <c r="A403" s="9" t="s">
        <v>654</v>
      </c>
      <c r="B403" s="10">
        <v>559195</v>
      </c>
      <c r="C403" s="10">
        <v>625141</v>
      </c>
      <c r="D403" s="10">
        <v>616386</v>
      </c>
      <c r="E403" s="10">
        <v>720006</v>
      </c>
      <c r="F403" s="10">
        <v>765822</v>
      </c>
      <c r="G403" s="10">
        <v>945818</v>
      </c>
    </row>
    <row r="404" spans="1:7" x14ac:dyDescent="0.45">
      <c r="A404" s="9" t="s">
        <v>655</v>
      </c>
      <c r="B404" s="10">
        <v>3545368</v>
      </c>
      <c r="C404" s="10">
        <v>4017843</v>
      </c>
      <c r="D404" s="10">
        <v>4239865</v>
      </c>
      <c r="E404" s="10">
        <v>4780688</v>
      </c>
      <c r="F404" s="10">
        <v>5522180</v>
      </c>
      <c r="G404" s="10">
        <v>6716465</v>
      </c>
    </row>
    <row r="405" spans="1:7" x14ac:dyDescent="0.45">
      <c r="A405" s="9" t="s">
        <v>656</v>
      </c>
      <c r="B405" s="10">
        <v>3545368</v>
      </c>
      <c r="C405" s="10">
        <v>4017843</v>
      </c>
      <c r="D405" s="10">
        <v>4239865</v>
      </c>
      <c r="E405" s="10">
        <v>4780688</v>
      </c>
      <c r="F405" s="10">
        <v>5522180</v>
      </c>
      <c r="G405" s="10">
        <v>6716465</v>
      </c>
    </row>
    <row r="406" spans="1:7" x14ac:dyDescent="0.45">
      <c r="A406" s="9" t="s">
        <v>657</v>
      </c>
      <c r="B406" s="10">
        <v>2753661</v>
      </c>
      <c r="C406" s="10">
        <v>2313486</v>
      </c>
      <c r="D406" s="10">
        <v>2801070</v>
      </c>
      <c r="E406" s="10">
        <v>2946076</v>
      </c>
      <c r="F406" s="10">
        <v>3413724</v>
      </c>
      <c r="G406" s="10">
        <v>4095287</v>
      </c>
    </row>
    <row r="407" spans="1:7" x14ac:dyDescent="0.45">
      <c r="A407" s="9" t="s">
        <v>658</v>
      </c>
      <c r="B407" s="10">
        <v>453722</v>
      </c>
      <c r="C407" s="10">
        <v>437322</v>
      </c>
      <c r="D407" s="10">
        <v>461661</v>
      </c>
      <c r="E407" s="10">
        <v>576640</v>
      </c>
      <c r="F407" s="10">
        <v>746031</v>
      </c>
      <c r="G407" s="10">
        <v>690502</v>
      </c>
    </row>
    <row r="408" spans="1:7" x14ac:dyDescent="0.45">
      <c r="A408" s="9" t="s">
        <v>659</v>
      </c>
      <c r="B408" s="10">
        <v>458860</v>
      </c>
      <c r="C408" s="10">
        <v>524726</v>
      </c>
      <c r="D408" s="10">
        <v>479658</v>
      </c>
      <c r="E408" s="10">
        <v>540426</v>
      </c>
      <c r="F408" s="10">
        <v>1058027</v>
      </c>
      <c r="G408" s="10">
        <v>1427584</v>
      </c>
    </row>
    <row r="409" spans="1:7" x14ac:dyDescent="0.45">
      <c r="A409" s="9" t="s">
        <v>660</v>
      </c>
      <c r="B409" s="10">
        <v>1841079</v>
      </c>
      <c r="C409" s="10">
        <v>1351438</v>
      </c>
      <c r="D409" s="10">
        <v>1859751</v>
      </c>
      <c r="E409" s="10">
        <v>1829010</v>
      </c>
      <c r="F409" s="10">
        <v>1609666</v>
      </c>
      <c r="G409" s="10">
        <v>1977201</v>
      </c>
    </row>
    <row r="410" spans="1:7" x14ac:dyDescent="0.45">
      <c r="A410" s="9" t="s">
        <v>661</v>
      </c>
      <c r="B410" s="10">
        <v>9198680</v>
      </c>
      <c r="C410" s="10">
        <v>8938307</v>
      </c>
      <c r="D410" s="10">
        <v>10122328</v>
      </c>
      <c r="E410" s="10">
        <v>10069338</v>
      </c>
      <c r="F410" s="10">
        <v>10025857</v>
      </c>
      <c r="G410" s="10">
        <v>12687908</v>
      </c>
    </row>
    <row r="411" spans="1:7" x14ac:dyDescent="0.45">
      <c r="A411" s="9" t="s">
        <v>662</v>
      </c>
      <c r="B411" s="10">
        <v>8196822</v>
      </c>
      <c r="C411" s="10">
        <v>8249626</v>
      </c>
      <c r="D411" s="10">
        <v>9547069</v>
      </c>
      <c r="E411" s="10">
        <v>9282368</v>
      </c>
      <c r="F411" s="10">
        <v>9130939</v>
      </c>
      <c r="G411" s="10">
        <v>11359463</v>
      </c>
    </row>
    <row r="412" spans="1:7" x14ac:dyDescent="0.45">
      <c r="A412" s="9" t="s">
        <v>663</v>
      </c>
      <c r="B412" s="10">
        <v>227641</v>
      </c>
      <c r="C412" s="10">
        <v>225774</v>
      </c>
      <c r="D412" s="10">
        <v>210767</v>
      </c>
      <c r="E412" s="10">
        <v>250491</v>
      </c>
      <c r="F412" s="10">
        <v>235772</v>
      </c>
      <c r="G412" s="10">
        <v>374781</v>
      </c>
    </row>
    <row r="413" spans="1:7" x14ac:dyDescent="0.45">
      <c r="A413" s="9" t="s">
        <v>664</v>
      </c>
      <c r="B413" s="10">
        <v>299447</v>
      </c>
      <c r="C413" s="10">
        <v>297021</v>
      </c>
      <c r="D413" s="10">
        <v>351313</v>
      </c>
      <c r="E413" s="10">
        <v>390787</v>
      </c>
      <c r="F413" s="10">
        <v>399261</v>
      </c>
      <c r="G413" s="10">
        <v>458064</v>
      </c>
    </row>
    <row r="414" spans="1:7" x14ac:dyDescent="0.45">
      <c r="A414" s="9" t="s">
        <v>665</v>
      </c>
      <c r="B414" s="10">
        <v>697740</v>
      </c>
      <c r="C414" s="10">
        <v>742842</v>
      </c>
      <c r="D414" s="10">
        <v>1021761</v>
      </c>
      <c r="E414" s="10">
        <v>1063699</v>
      </c>
      <c r="F414" s="10">
        <v>1418490</v>
      </c>
      <c r="G414" s="10">
        <v>2072670</v>
      </c>
    </row>
    <row r="415" spans="1:7" x14ac:dyDescent="0.45">
      <c r="A415" s="9" t="s">
        <v>666</v>
      </c>
      <c r="B415" s="10">
        <v>4338407</v>
      </c>
      <c r="C415" s="10">
        <v>4381310</v>
      </c>
      <c r="D415" s="10">
        <v>5016421</v>
      </c>
      <c r="E415" s="10">
        <v>5190964</v>
      </c>
      <c r="F415" s="10">
        <v>4836429</v>
      </c>
      <c r="G415" s="10">
        <v>6347196</v>
      </c>
    </row>
    <row r="416" spans="1:7" x14ac:dyDescent="0.45">
      <c r="A416" s="9" t="s">
        <v>667</v>
      </c>
      <c r="B416" s="10">
        <v>538722</v>
      </c>
      <c r="C416" s="10">
        <v>339982</v>
      </c>
      <c r="D416" s="10">
        <v>389452</v>
      </c>
      <c r="E416" s="10">
        <v>361362</v>
      </c>
      <c r="F416" s="10">
        <v>389518</v>
      </c>
      <c r="G416" s="10">
        <v>395276</v>
      </c>
    </row>
    <row r="417" spans="1:7" x14ac:dyDescent="0.45">
      <c r="A417" s="9" t="s">
        <v>668</v>
      </c>
      <c r="B417" s="10">
        <v>1699416</v>
      </c>
      <c r="C417" s="10">
        <v>1675886</v>
      </c>
      <c r="D417" s="10">
        <v>1820994</v>
      </c>
      <c r="E417" s="10">
        <v>1489652</v>
      </c>
      <c r="F417" s="10">
        <v>1296660</v>
      </c>
      <c r="G417" s="10">
        <v>795480</v>
      </c>
    </row>
    <row r="418" spans="1:7" x14ac:dyDescent="0.45">
      <c r="A418" s="9" t="s">
        <v>669</v>
      </c>
      <c r="B418" s="10">
        <v>295372</v>
      </c>
      <c r="C418" s="10">
        <v>439059</v>
      </c>
      <c r="D418" s="10">
        <v>542147</v>
      </c>
      <c r="E418" s="10">
        <v>359064</v>
      </c>
      <c r="F418" s="10">
        <v>355122</v>
      </c>
      <c r="G418" s="10">
        <v>665300</v>
      </c>
    </row>
    <row r="419" spans="1:7" x14ac:dyDescent="0.45">
      <c r="A419" s="9" t="s">
        <v>670</v>
      </c>
      <c r="B419" s="10">
        <v>100077</v>
      </c>
      <c r="C419" s="10">
        <v>147752</v>
      </c>
      <c r="D419" s="10">
        <v>194214</v>
      </c>
      <c r="E419" s="10">
        <v>176349</v>
      </c>
      <c r="F419" s="10">
        <v>199687</v>
      </c>
      <c r="G419" s="10">
        <v>250696</v>
      </c>
    </row>
    <row r="420" spans="1:7" x14ac:dyDescent="0.45">
      <c r="A420" s="9" t="s">
        <v>671</v>
      </c>
      <c r="B420" s="10">
        <v>1001858</v>
      </c>
      <c r="C420" s="10">
        <v>688681</v>
      </c>
      <c r="D420" s="10">
        <v>575259</v>
      </c>
      <c r="E420" s="10">
        <v>786970</v>
      </c>
      <c r="F420" s="10">
        <v>894918</v>
      </c>
      <c r="G420" s="10">
        <v>1328445</v>
      </c>
    </row>
    <row r="421" spans="1:7" x14ac:dyDescent="0.45">
      <c r="A421" s="9" t="s">
        <v>672</v>
      </c>
      <c r="B421" s="10">
        <v>861984</v>
      </c>
      <c r="C421" s="10">
        <v>541264</v>
      </c>
      <c r="D421" s="10">
        <v>412500</v>
      </c>
      <c r="E421" s="10">
        <v>591748</v>
      </c>
      <c r="F421" s="10">
        <v>745430</v>
      </c>
      <c r="G421" s="10">
        <v>1119818</v>
      </c>
    </row>
    <row r="422" spans="1:7" x14ac:dyDescent="0.45">
      <c r="A422" s="9" t="s">
        <v>673</v>
      </c>
      <c r="B422" s="10">
        <v>139874</v>
      </c>
      <c r="C422" s="10">
        <v>147417</v>
      </c>
      <c r="D422" s="10">
        <v>162759</v>
      </c>
      <c r="E422" s="10">
        <v>195222</v>
      </c>
      <c r="F422" s="10">
        <v>149488</v>
      </c>
      <c r="G422" s="10">
        <v>208627</v>
      </c>
    </row>
    <row r="423" spans="1:7" x14ac:dyDescent="0.45">
      <c r="A423" s="436" t="s">
        <v>674</v>
      </c>
      <c r="B423" s="436"/>
      <c r="C423" s="436"/>
      <c r="D423" s="436"/>
      <c r="E423" s="436"/>
      <c r="F423" s="436"/>
      <c r="G423" s="436"/>
    </row>
  </sheetData>
  <mergeCells count="6">
    <mergeCell ref="A423:G423"/>
    <mergeCell ref="A1:G1"/>
    <mergeCell ref="A2:G2"/>
    <mergeCell ref="A3:G3"/>
    <mergeCell ref="A4:A5"/>
    <mergeCell ref="B4:G4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6190-FBE3-456B-9379-4743D6A5A148}">
  <sheetPr>
    <tabColor theme="4" tint="-0.499984740745262"/>
  </sheetPr>
  <dimension ref="A1:W676"/>
  <sheetViews>
    <sheetView workbookViewId="0"/>
  </sheetViews>
  <sheetFormatPr defaultRowHeight="14.25" x14ac:dyDescent="0.45"/>
  <cols>
    <col min="2" max="2" width="24" customWidth="1"/>
    <col min="5" max="5" width="12.6640625" customWidth="1"/>
    <col min="6" max="6" width="14.53125" customWidth="1"/>
    <col min="7" max="7" width="15.46484375" customWidth="1"/>
    <col min="8" max="8" width="13.33203125" customWidth="1"/>
    <col min="9" max="9" width="11" customWidth="1"/>
    <col min="10" max="10" width="13.1328125" customWidth="1"/>
    <col min="12" max="12" width="15" customWidth="1"/>
    <col min="13" max="13" width="19.46484375" customWidth="1"/>
    <col min="14" max="14" width="14.46484375" customWidth="1"/>
    <col min="15" max="15" width="15.33203125" customWidth="1"/>
    <col min="16" max="16" width="16.33203125" customWidth="1"/>
    <col min="17" max="17" width="14" bestFit="1" customWidth="1"/>
    <col min="18" max="19" width="14.46484375" customWidth="1"/>
    <col min="20" max="20" width="11.33203125" customWidth="1"/>
    <col min="21" max="21" width="11.53125" customWidth="1"/>
  </cols>
  <sheetData>
    <row r="1" spans="1:23" x14ac:dyDescent="0.45">
      <c r="A1" s="292" t="s">
        <v>129</v>
      </c>
      <c r="B1" s="295" t="s">
        <v>130</v>
      </c>
      <c r="C1" s="334" t="s">
        <v>933</v>
      </c>
      <c r="D1" s="295" t="s">
        <v>131</v>
      </c>
      <c r="E1" s="296" t="s">
        <v>132</v>
      </c>
      <c r="F1" s="296" t="s">
        <v>31</v>
      </c>
      <c r="G1" s="301" t="s">
        <v>133</v>
      </c>
      <c r="H1" s="301" t="s">
        <v>134</v>
      </c>
      <c r="I1" s="296" t="s">
        <v>25</v>
      </c>
      <c r="J1" s="296" t="s">
        <v>31</v>
      </c>
      <c r="K1" s="301" t="s">
        <v>57</v>
      </c>
      <c r="L1" s="296" t="s">
        <v>135</v>
      </c>
      <c r="M1" s="296" t="s">
        <v>136</v>
      </c>
      <c r="N1" s="296" t="s">
        <v>137</v>
      </c>
      <c r="O1" s="301" t="s">
        <v>138</v>
      </c>
      <c r="P1" s="301" t="s">
        <v>139</v>
      </c>
      <c r="Q1" s="301" t="s">
        <v>140</v>
      </c>
      <c r="R1" s="334" t="s">
        <v>928</v>
      </c>
      <c r="S1" s="334" t="s">
        <v>929</v>
      </c>
      <c r="T1" s="334" t="s">
        <v>930</v>
      </c>
      <c r="U1" s="334" t="s">
        <v>931</v>
      </c>
      <c r="V1" s="334" t="s">
        <v>932</v>
      </c>
    </row>
    <row r="2" spans="1:23" x14ac:dyDescent="0.45">
      <c r="A2" s="293" t="s">
        <v>907</v>
      </c>
      <c r="B2" s="297" t="s">
        <v>3</v>
      </c>
      <c r="C2" s="293" t="str">
        <f t="shared" ref="C2:C65" si="0">A2&amp;B2</f>
        <v>ChinaManufacture of basic metals (C24)</v>
      </c>
      <c r="D2" s="297" t="s">
        <v>958</v>
      </c>
      <c r="E2" s="298">
        <v>156029.56141401999</v>
      </c>
      <c r="F2" s="298">
        <v>294256.24499059003</v>
      </c>
      <c r="G2" s="302">
        <v>0.88590060962736072</v>
      </c>
      <c r="H2" s="303">
        <v>132253.90215097999</v>
      </c>
      <c r="I2" s="298">
        <v>225208.54858435001</v>
      </c>
      <c r="J2" s="298">
        <v>294256.24499059003</v>
      </c>
      <c r="K2" s="302">
        <v>0.30659447361243819</v>
      </c>
      <c r="L2" s="298">
        <v>390604.97261761001</v>
      </c>
      <c r="M2" s="298">
        <v>502337.08868773002</v>
      </c>
      <c r="N2" s="298">
        <v>587181.44280905998</v>
      </c>
      <c r="O2" s="306">
        <v>795536.12714231003</v>
      </c>
      <c r="P2" s="306" cm="1">
        <f t="array" ref="P2">INDEX($E$2:$E$676, MATCH($B2, $B$2:$B$676, 0) * MATCH("Brazil", $A$2:$A$676, 0))</f>
        <v>23775.659263040001</v>
      </c>
      <c r="Q2" s="306">
        <f>P2-E2</f>
        <v>-132253.90215097999</v>
      </c>
      <c r="R2" s="336">
        <f>INDEX('Base GDP'!$A$1:$E$76,MATCH(A2,'Base GDP'!$A$1:$A$76,0),4)</f>
        <v>11048064.947659001</v>
      </c>
      <c r="S2" s="336">
        <f>INDEX('Base GDP'!$A$1:$E$76,MATCH(A2,'Base GDP'!$A$1:$A$76,0),5)</f>
        <v>15827750.501527</v>
      </c>
      <c r="T2" s="335">
        <f>I2/R2</f>
        <v>2.0384433803683419E-2</v>
      </c>
      <c r="U2" s="335">
        <f>J2/S2</f>
        <v>1.8591160188063446E-2</v>
      </c>
      <c r="V2" s="335">
        <f>U2-T2</f>
        <v>-1.7932736156199731E-3</v>
      </c>
      <c r="W2" s="13"/>
    </row>
    <row r="3" spans="1:23" x14ac:dyDescent="0.45">
      <c r="A3" s="293" t="s">
        <v>100</v>
      </c>
      <c r="B3" s="297" t="s">
        <v>3</v>
      </c>
      <c r="C3" s="293" t="str">
        <f t="shared" si="0"/>
        <v>JapanManufacture of basic metals (C24)</v>
      </c>
      <c r="D3" s="297" t="s">
        <v>958</v>
      </c>
      <c r="E3" s="298">
        <v>94959.77617194</v>
      </c>
      <c r="F3" s="298">
        <v>81975.167517780006</v>
      </c>
      <c r="G3" s="302">
        <v>-0.13673798715204699</v>
      </c>
      <c r="H3" s="303">
        <v>71184.116908900003</v>
      </c>
      <c r="I3" s="298">
        <v>84297.378772990007</v>
      </c>
      <c r="J3" s="298">
        <v>81975.167517780006</v>
      </c>
      <c r="K3" s="302">
        <v>-2.7547846552425259E-2</v>
      </c>
      <c r="L3" s="298">
        <v>72781.344773329998</v>
      </c>
      <c r="M3" s="298">
        <v>71667.434136009993</v>
      </c>
      <c r="N3" s="298">
        <v>71402.852020029997</v>
      </c>
      <c r="O3" s="306">
        <v>71042.851864240001</v>
      </c>
      <c r="P3" s="306" cm="1">
        <f t="array" ref="P3">INDEX($E$2:$E$676, MATCH($B3, $B$2:$B$676, 0) * MATCH("Brazil", $A$2:$A$676, 0))</f>
        <v>23775.659263040001</v>
      </c>
      <c r="Q3" s="306">
        <f t="shared" ref="Q3:Q66" si="1">P3-E3</f>
        <v>-71184.116908900003</v>
      </c>
      <c r="R3" s="336">
        <f>INDEX('Base GDP'!$A$1:$E$76,MATCH(A3,'Base GDP'!$A$1:$A$76,0),4)</f>
        <v>4983596.864085</v>
      </c>
      <c r="S3" s="336">
        <f>INDEX('Base GDP'!$A$1:$E$76,MATCH(A3,'Base GDP'!$A$1:$A$76,0),5)</f>
        <v>5032370.4042106001</v>
      </c>
      <c r="T3" s="335">
        <f t="shared" ref="T3:T66" si="2">I3/R3</f>
        <v>1.6914967456635802E-2</v>
      </c>
      <c r="U3" s="335">
        <f t="shared" ref="U3:U66" si="3">J3/S3</f>
        <v>1.6289573487911605E-2</v>
      </c>
      <c r="V3" s="335">
        <f t="shared" ref="V3:V66" si="4">U3-T3</f>
        <v>-6.2539396872419648E-4</v>
      </c>
    </row>
    <row r="4" spans="1:23" x14ac:dyDescent="0.45">
      <c r="A4" s="293" t="s">
        <v>141</v>
      </c>
      <c r="B4" s="297" t="s">
        <v>3</v>
      </c>
      <c r="C4" s="293" t="str">
        <f t="shared" si="0"/>
        <v>United StatesManufacture of basic metals (C24)</v>
      </c>
      <c r="D4" s="297" t="s">
        <v>958</v>
      </c>
      <c r="E4" s="298">
        <v>42074.32931976</v>
      </c>
      <c r="F4" s="298">
        <v>66238.249157230006</v>
      </c>
      <c r="G4" s="302">
        <v>0.57431503313640553</v>
      </c>
      <c r="H4" s="303">
        <v>18298.670056719999</v>
      </c>
      <c r="I4" s="298">
        <v>63888.299334440002</v>
      </c>
      <c r="J4" s="298">
        <v>66238.249157230006</v>
      </c>
      <c r="K4" s="302">
        <v>3.6782162731998413E-2</v>
      </c>
      <c r="L4" s="298">
        <v>83648.835160140006</v>
      </c>
      <c r="M4" s="298">
        <v>86503.901863940002</v>
      </c>
      <c r="N4" s="298">
        <v>89063.262903519993</v>
      </c>
      <c r="O4" s="306">
        <v>95482.545306679996</v>
      </c>
      <c r="P4" s="306" cm="1">
        <f t="array" ref="P4">INDEX($E$2:$E$676, MATCH($B4, $B$2:$B$676, 0) * MATCH("Brazil", $A$2:$A$676, 0))</f>
        <v>23775.659263040001</v>
      </c>
      <c r="Q4" s="306">
        <f t="shared" si="1"/>
        <v>-18298.670056719999</v>
      </c>
      <c r="R4" s="336">
        <f>INDEX('Base GDP'!$A$1:$E$76,MATCH(A4,'Base GDP'!$A$1:$A$76,0),4)</f>
        <v>19553083.060252</v>
      </c>
      <c r="S4" s="336">
        <f>INDEX('Base GDP'!$A$1:$E$76,MATCH(A4,'Base GDP'!$A$1:$A$76,0),5)</f>
        <v>22265681.170655001</v>
      </c>
      <c r="T4" s="335">
        <f t="shared" si="2"/>
        <v>3.2674284222887462E-3</v>
      </c>
      <c r="U4" s="335">
        <f t="shared" si="3"/>
        <v>2.9749033343982553E-3</v>
      </c>
      <c r="V4" s="335">
        <f t="shared" si="4"/>
        <v>-2.9252508789049097E-4</v>
      </c>
    </row>
    <row r="5" spans="1:23" x14ac:dyDescent="0.45">
      <c r="A5" s="293" t="s">
        <v>106</v>
      </c>
      <c r="B5" s="297" t="s">
        <v>3</v>
      </c>
      <c r="C5" s="293" t="str">
        <f t="shared" si="0"/>
        <v>RussiaManufacture of basic metals (C24)</v>
      </c>
      <c r="D5" s="297" t="s">
        <v>958</v>
      </c>
      <c r="E5" s="298">
        <v>32838.35420265</v>
      </c>
      <c r="F5" s="298">
        <v>38511.382638460003</v>
      </c>
      <c r="G5" s="302">
        <v>0.17275617410059474</v>
      </c>
      <c r="H5" s="303">
        <v>9062.694939609999</v>
      </c>
      <c r="I5" s="298">
        <v>36188.329894089999</v>
      </c>
      <c r="J5" s="298">
        <v>38511.382638460003</v>
      </c>
      <c r="K5" s="302">
        <v>6.419342233169445E-2</v>
      </c>
      <c r="L5" s="298">
        <v>41028.816937670003</v>
      </c>
      <c r="M5" s="298">
        <v>43245.076244030002</v>
      </c>
      <c r="N5" s="298">
        <v>44809.120578310001</v>
      </c>
      <c r="O5" s="306">
        <v>47982.918529499999</v>
      </c>
      <c r="P5" s="306" cm="1">
        <f t="array" ref="P5">INDEX($E$2:$E$676, MATCH($B5, $B$2:$B$676, 0) * MATCH("Brazil", $A$2:$A$676, 0))</f>
        <v>23775.659263040001</v>
      </c>
      <c r="Q5" s="306">
        <f t="shared" si="1"/>
        <v>-9062.694939609999</v>
      </c>
      <c r="R5" s="336">
        <f>INDEX('Base GDP'!$A$1:$E$76,MATCH(A5,'Base GDP'!$A$1:$A$76,0),4)</f>
        <v>1579786.0768998</v>
      </c>
      <c r="S5" s="336">
        <f>INDEX('Base GDP'!$A$1:$E$76,MATCH(A5,'Base GDP'!$A$1:$A$76,0),5)</f>
        <v>1741025.8573970001</v>
      </c>
      <c r="T5" s="335">
        <f t="shared" si="2"/>
        <v>2.2907107755441556E-2</v>
      </c>
      <c r="U5" s="335">
        <f t="shared" si="3"/>
        <v>2.2119937205319972E-2</v>
      </c>
      <c r="V5" s="335">
        <f t="shared" si="4"/>
        <v>-7.8717055012158393E-4</v>
      </c>
    </row>
    <row r="6" spans="1:23" x14ac:dyDescent="0.45">
      <c r="A6" s="293" t="s">
        <v>70</v>
      </c>
      <c r="B6" s="297" t="s">
        <v>3</v>
      </c>
      <c r="C6" s="293" t="str">
        <f t="shared" si="0"/>
        <v>IndiaManufacture of basic metals (C24)</v>
      </c>
      <c r="D6" s="297" t="s">
        <v>958</v>
      </c>
      <c r="E6" s="298">
        <v>14036.98881682</v>
      </c>
      <c r="F6" s="298">
        <v>24191.715915029999</v>
      </c>
      <c r="G6" s="302">
        <v>0.72342631533922508</v>
      </c>
      <c r="H6" s="303">
        <v>9738.6704462200014</v>
      </c>
      <c r="I6" s="298">
        <v>13115.638021749999</v>
      </c>
      <c r="J6" s="298">
        <v>24191.715915029999</v>
      </c>
      <c r="K6" s="302">
        <v>0.84449402117626726</v>
      </c>
      <c r="L6" s="298">
        <v>37462.88471323</v>
      </c>
      <c r="M6" s="298">
        <v>48964.340926539997</v>
      </c>
      <c r="N6" s="298">
        <v>58296.892910119997</v>
      </c>
      <c r="O6" s="306">
        <v>83848.52222323</v>
      </c>
      <c r="P6" s="306" cm="1">
        <f t="array" ref="P6">INDEX($E$2:$E$676, MATCH($B6, $B$2:$B$676, 0) * MATCH("Brazil", $A$2:$A$676, 0))</f>
        <v>23775.659263040001</v>
      </c>
      <c r="Q6" s="306">
        <f t="shared" si="1"/>
        <v>9738.6704462200014</v>
      </c>
      <c r="R6" s="336">
        <f>INDEX('Base GDP'!$A$1:$E$76,MATCH(A6,'Base GDP'!$A$1:$A$76,0),4)</f>
        <v>2233583.9807687998</v>
      </c>
      <c r="S6" s="336">
        <f>INDEX('Base GDP'!$A$1:$E$76,MATCH(A6,'Base GDP'!$A$1:$A$76,0),5)</f>
        <v>2928405.219999</v>
      </c>
      <c r="T6" s="335">
        <f t="shared" si="2"/>
        <v>5.8720147237246905E-3</v>
      </c>
      <c r="U6" s="335">
        <f t="shared" si="3"/>
        <v>8.2610547713196127E-3</v>
      </c>
      <c r="V6" s="335">
        <f t="shared" si="4"/>
        <v>2.3890400475949222E-3</v>
      </c>
    </row>
    <row r="7" spans="1:23" x14ac:dyDescent="0.45">
      <c r="A7" s="293" t="s">
        <v>104</v>
      </c>
      <c r="B7" s="297" t="s">
        <v>3</v>
      </c>
      <c r="C7" s="293" t="str">
        <f t="shared" si="0"/>
        <v>South KoreaManufacture of basic metals (C24)</v>
      </c>
      <c r="D7" s="297" t="s">
        <v>958</v>
      </c>
      <c r="E7" s="298">
        <v>21814.555008359999</v>
      </c>
      <c r="F7" s="298">
        <v>22094.340632029998</v>
      </c>
      <c r="G7" s="302">
        <v>1.2825639742033657E-2</v>
      </c>
      <c r="H7" s="303">
        <v>1961.1042546800018</v>
      </c>
      <c r="I7" s="298">
        <v>23208.052802530001</v>
      </c>
      <c r="J7" s="298">
        <v>22094.340632029998</v>
      </c>
      <c r="K7" s="302">
        <v>-4.7988178068027909E-2</v>
      </c>
      <c r="L7" s="298">
        <v>20063.921541349999</v>
      </c>
      <c r="M7" s="298">
        <v>20303.683547649998</v>
      </c>
      <c r="N7" s="298">
        <v>20512.346165949999</v>
      </c>
      <c r="O7" s="306">
        <v>21180.026817860002</v>
      </c>
      <c r="P7" s="306" cm="1">
        <f t="array" ref="P7">INDEX($E$2:$E$676, MATCH($B7, $B$2:$B$676, 0) * MATCH("Brazil", $A$2:$A$676, 0))</f>
        <v>23775.659263040001</v>
      </c>
      <c r="Q7" s="306">
        <f t="shared" si="1"/>
        <v>1961.1042546800018</v>
      </c>
      <c r="R7" s="336">
        <f>INDEX('Base GDP'!$A$1:$E$76,MATCH(A7,'Base GDP'!$A$1:$A$76,0),4)</f>
        <v>1478297.0807395</v>
      </c>
      <c r="S7" s="336">
        <f>INDEX('Base GDP'!$A$1:$E$76,MATCH(A7,'Base GDP'!$A$1:$A$76,0),5)</f>
        <v>1710728.7967964001</v>
      </c>
      <c r="T7" s="335">
        <f t="shared" si="2"/>
        <v>1.569918056722432E-2</v>
      </c>
      <c r="U7" s="335">
        <f t="shared" si="3"/>
        <v>1.2915162633261925E-2</v>
      </c>
      <c r="V7" s="335">
        <f t="shared" si="4"/>
        <v>-2.784017933962395E-3</v>
      </c>
    </row>
    <row r="8" spans="1:23" x14ac:dyDescent="0.45">
      <c r="A8" s="293" t="s">
        <v>98</v>
      </c>
      <c r="B8" s="297" t="s">
        <v>3</v>
      </c>
      <c r="C8" s="293" t="str">
        <f t="shared" si="0"/>
        <v>GermanyManufacture of basic metals (C24)</v>
      </c>
      <c r="D8" s="297" t="s">
        <v>958</v>
      </c>
      <c r="E8" s="298">
        <v>19821.244646679999</v>
      </c>
      <c r="F8" s="298">
        <v>21408.898369260001</v>
      </c>
      <c r="G8" s="302">
        <v>8.0098588705221907E-2</v>
      </c>
      <c r="H8" s="303">
        <v>3954.4146163600017</v>
      </c>
      <c r="I8" s="298">
        <v>23510.00979779</v>
      </c>
      <c r="J8" s="298">
        <v>21408.898369260001</v>
      </c>
      <c r="K8" s="302">
        <v>-8.9370929514776654E-2</v>
      </c>
      <c r="L8" s="298">
        <v>18489.261423010001</v>
      </c>
      <c r="M8" s="298">
        <v>18518.02837321</v>
      </c>
      <c r="N8" s="298">
        <v>18567.816896519998</v>
      </c>
      <c r="O8" s="306">
        <v>18305.598141589999</v>
      </c>
      <c r="P8" s="306" cm="1">
        <f t="array" ref="P8">INDEX($E$2:$E$676, MATCH($B8, $B$2:$B$676, 0) * MATCH("Brazil", $A$2:$A$676, 0))</f>
        <v>23775.659263040001</v>
      </c>
      <c r="Q8" s="306">
        <f t="shared" si="1"/>
        <v>3954.4146163600017</v>
      </c>
      <c r="R8" s="336">
        <f>INDEX('Base GDP'!$A$1:$E$76,MATCH(A8,'Base GDP'!$A$1:$A$76,0),4)</f>
        <v>3626843.1759532001</v>
      </c>
      <c r="S8" s="336">
        <f>INDEX('Base GDP'!$A$1:$E$76,MATCH(A8,'Base GDP'!$A$1:$A$76,0),5)</f>
        <v>3849084.4984781002</v>
      </c>
      <c r="T8" s="335">
        <f t="shared" si="2"/>
        <v>6.4822239774983224E-3</v>
      </c>
      <c r="U8" s="335">
        <f t="shared" si="3"/>
        <v>5.5620754435827336E-3</v>
      </c>
      <c r="V8" s="335">
        <f t="shared" si="4"/>
        <v>-9.201485339155888E-4</v>
      </c>
    </row>
    <row r="9" spans="1:23" x14ac:dyDescent="0.45">
      <c r="A9" s="294" t="s">
        <v>18</v>
      </c>
      <c r="B9" s="299" t="s">
        <v>3</v>
      </c>
      <c r="C9" s="293" t="str">
        <f t="shared" si="0"/>
        <v>BrazilManufacture of basic metals (C24)</v>
      </c>
      <c r="D9" s="297" t="s">
        <v>958</v>
      </c>
      <c r="E9" s="300">
        <v>23775.659263040001</v>
      </c>
      <c r="F9" s="300">
        <v>18902.200928599999</v>
      </c>
      <c r="G9" s="304">
        <v>-0.2049767907809793</v>
      </c>
      <c r="H9" s="305">
        <v>0</v>
      </c>
      <c r="I9" s="300">
        <v>17795.953809850002</v>
      </c>
      <c r="J9" s="300">
        <v>18902.200928599999</v>
      </c>
      <c r="K9" s="304">
        <v>6.2162845024788416E-2</v>
      </c>
      <c r="L9" s="300">
        <v>17824.35477672</v>
      </c>
      <c r="M9" s="300">
        <v>19739.077264420001</v>
      </c>
      <c r="N9" s="300">
        <v>21285.014560290001</v>
      </c>
      <c r="O9" s="307">
        <v>24903.208569009999</v>
      </c>
      <c r="P9" s="306" cm="1">
        <f t="array" ref="P9">INDEX($E$2:$E$676, MATCH($B9, $B$2:$B$676, 0) * MATCH("Brazil", $A$2:$A$676, 0))</f>
        <v>23775.659263040001</v>
      </c>
      <c r="Q9" s="306">
        <f t="shared" si="1"/>
        <v>0</v>
      </c>
      <c r="R9" s="336">
        <f>INDEX('Base GDP'!$A$1:$E$76,MATCH(A9,'Base GDP'!$A$1:$A$76,0),4)</f>
        <v>1855726.8356911</v>
      </c>
      <c r="S9" s="336">
        <f>INDEX('Base GDP'!$A$1:$E$76,MATCH(A9,'Base GDP'!$A$1:$A$76,0),5)</f>
        <v>1898091.4722179</v>
      </c>
      <c r="T9" s="335">
        <f t="shared" si="2"/>
        <v>9.589748592077953E-3</v>
      </c>
      <c r="U9" s="335">
        <f t="shared" si="3"/>
        <v>9.9585300314915682E-3</v>
      </c>
      <c r="V9" s="335">
        <f t="shared" si="4"/>
        <v>3.6878143941361519E-4</v>
      </c>
    </row>
    <row r="10" spans="1:23" x14ac:dyDescent="0.45">
      <c r="A10" s="293" t="s">
        <v>99</v>
      </c>
      <c r="B10" s="297" t="s">
        <v>3</v>
      </c>
      <c r="C10" s="293" t="str">
        <f t="shared" si="0"/>
        <v>IndonesiaManufacture of basic metals (C24)</v>
      </c>
      <c r="D10" s="297" t="s">
        <v>958</v>
      </c>
      <c r="E10" s="298">
        <v>9021.0809487099996</v>
      </c>
      <c r="F10" s="298">
        <v>14713.1212216</v>
      </c>
      <c r="G10" s="302">
        <v>0.63097097845064276</v>
      </c>
      <c r="H10" s="303">
        <v>14754.578314330001</v>
      </c>
      <c r="I10" s="298">
        <v>11577.513389309999</v>
      </c>
      <c r="J10" s="298">
        <v>14713.1212216</v>
      </c>
      <c r="K10" s="302">
        <v>0.27083603593024042</v>
      </c>
      <c r="L10" s="298">
        <v>22100.92953985</v>
      </c>
      <c r="M10" s="298">
        <v>27653.00592625</v>
      </c>
      <c r="N10" s="298">
        <v>32218.504517910002</v>
      </c>
      <c r="O10" s="306">
        <v>44409.883858369998</v>
      </c>
      <c r="P10" s="306" cm="1">
        <f t="array" ref="P10">INDEX($E$2:$E$676, MATCH($B10, $B$2:$B$676, 0) * MATCH("Brazil", $A$2:$A$676, 0))</f>
        <v>23775.659263040001</v>
      </c>
      <c r="Q10" s="306">
        <f t="shared" si="1"/>
        <v>14754.578314330001</v>
      </c>
      <c r="R10" s="336">
        <f>INDEX('Base GDP'!$A$1:$E$76,MATCH(A10,'Base GDP'!$A$1:$A$76,0),4)</f>
        <v>917924.88667253999</v>
      </c>
      <c r="S10" s="336">
        <f>INDEX('Base GDP'!$A$1:$E$76,MATCH(A10,'Base GDP'!$A$1:$A$76,0),5)</f>
        <v>1136354.4627425</v>
      </c>
      <c r="T10" s="335">
        <f t="shared" si="2"/>
        <v>1.2612702365308192E-2</v>
      </c>
      <c r="U10" s="335">
        <f t="shared" si="3"/>
        <v>1.2947651198633099E-2</v>
      </c>
      <c r="V10" s="335">
        <f t="shared" si="4"/>
        <v>3.3494883332490719E-4</v>
      </c>
    </row>
    <row r="11" spans="1:23" x14ac:dyDescent="0.45">
      <c r="A11" s="293" t="s">
        <v>75</v>
      </c>
      <c r="B11" s="297" t="s">
        <v>3</v>
      </c>
      <c r="C11" s="293" t="str">
        <f t="shared" si="0"/>
        <v>MexicoManufacture of basic metals (C24)</v>
      </c>
      <c r="D11" s="297" t="s">
        <v>958</v>
      </c>
      <c r="E11" s="298">
        <v>12225.19696693</v>
      </c>
      <c r="F11" s="298">
        <v>12740.271190920001</v>
      </c>
      <c r="G11" s="302">
        <v>4.2132182032184273E-2</v>
      </c>
      <c r="H11" s="303">
        <v>11550.462296110001</v>
      </c>
      <c r="I11" s="298">
        <v>12563.67453563</v>
      </c>
      <c r="J11" s="298">
        <v>12740.271190920001</v>
      </c>
      <c r="K11" s="302">
        <v>1.4056131013994388E-2</v>
      </c>
      <c r="L11" s="298">
        <v>14257.07732102</v>
      </c>
      <c r="M11" s="298">
        <v>15814.84592449</v>
      </c>
      <c r="N11" s="298">
        <v>17006.45431755</v>
      </c>
      <c r="O11" s="306">
        <v>20107.131287849999</v>
      </c>
      <c r="P11" s="306" cm="1">
        <f t="array" ref="P11">INDEX($E$2:$E$676, MATCH($B11, $B$2:$B$676, 0) * MATCH("Brazil", $A$2:$A$676, 0))</f>
        <v>23775.659263040001</v>
      </c>
      <c r="Q11" s="306">
        <f t="shared" si="1"/>
        <v>11550.462296110001</v>
      </c>
      <c r="R11" s="336">
        <f>INDEX('Base GDP'!$A$1:$E$76,MATCH(A11,'Base GDP'!$A$1:$A$76,0),4)</f>
        <v>1239119.2771185001</v>
      </c>
      <c r="S11" s="336">
        <f>INDEX('Base GDP'!$A$1:$E$76,MATCH(A11,'Base GDP'!$A$1:$A$76,0),5)</f>
        <v>1262038.2891611001</v>
      </c>
      <c r="T11" s="335">
        <f t="shared" si="2"/>
        <v>1.013919706329329E-2</v>
      </c>
      <c r="U11" s="335">
        <f t="shared" si="3"/>
        <v>1.0094995770206538E-2</v>
      </c>
      <c r="V11" s="335">
        <f t="shared" si="4"/>
        <v>-4.4201293086751706E-5</v>
      </c>
    </row>
    <row r="12" spans="1:23" x14ac:dyDescent="0.45">
      <c r="A12" s="293" t="s">
        <v>73</v>
      </c>
      <c r="B12" s="297" t="s">
        <v>3</v>
      </c>
      <c r="C12" s="293" t="str">
        <f t="shared" si="0"/>
        <v>TaiwanManufacture of basic metals (C24)</v>
      </c>
      <c r="D12" s="297" t="s">
        <v>958</v>
      </c>
      <c r="E12" s="298">
        <v>9468.7753402300004</v>
      </c>
      <c r="F12" s="298">
        <v>10405.334383490001</v>
      </c>
      <c r="G12" s="302">
        <v>9.8910261317621595E-2</v>
      </c>
      <c r="H12" s="303">
        <v>14306.883922810001</v>
      </c>
      <c r="I12" s="298">
        <v>9124.0919433899999</v>
      </c>
      <c r="J12" s="298">
        <v>10405.334383490001</v>
      </c>
      <c r="K12" s="302">
        <v>0.1404241044532879</v>
      </c>
      <c r="L12" s="298">
        <v>8969.0272265700005</v>
      </c>
      <c r="M12" s="298">
        <v>9166.0501779400001</v>
      </c>
      <c r="N12" s="298">
        <v>9288.4641118500003</v>
      </c>
      <c r="O12" s="306">
        <v>9678.9633516800004</v>
      </c>
      <c r="P12" s="306" cm="1">
        <f t="array" ref="P12">INDEX($E$2:$E$676, MATCH($B12, $B$2:$B$676, 0) * MATCH("Brazil", $A$2:$A$676, 0))</f>
        <v>23775.659263040001</v>
      </c>
      <c r="Q12" s="306">
        <f t="shared" si="1"/>
        <v>14306.883922810001</v>
      </c>
      <c r="R12" s="336">
        <f>INDEX('Base GDP'!$A$1:$E$76,MATCH(A12,'Base GDP'!$A$1:$A$76,0),4)</f>
        <v>546880.06131035998</v>
      </c>
      <c r="S12" s="336">
        <f>INDEX('Base GDP'!$A$1:$E$76,MATCH(A12,'Base GDP'!$A$1:$A$76,0),5)</f>
        <v>674049.24440882006</v>
      </c>
      <c r="T12" s="335">
        <f t="shared" si="2"/>
        <v>1.6683899430394455E-2</v>
      </c>
      <c r="U12" s="335">
        <f t="shared" si="3"/>
        <v>1.5437053701641751E-2</v>
      </c>
      <c r="V12" s="335">
        <f t="shared" si="4"/>
        <v>-1.2468457287527039E-3</v>
      </c>
    </row>
    <row r="13" spans="1:23" x14ac:dyDescent="0.45">
      <c r="A13" s="293" t="s">
        <v>101</v>
      </c>
      <c r="B13" s="297" t="s">
        <v>3</v>
      </c>
      <c r="C13" s="293" t="str">
        <f t="shared" si="0"/>
        <v>ItalyManufacture of basic metals (C24)</v>
      </c>
      <c r="D13" s="297" t="s">
        <v>958</v>
      </c>
      <c r="E13" s="298">
        <v>7730.7163266899997</v>
      </c>
      <c r="F13" s="298">
        <v>10165.333740579999</v>
      </c>
      <c r="G13" s="302">
        <v>0.3149277907772372</v>
      </c>
      <c r="H13" s="303">
        <v>16044.942936350002</v>
      </c>
      <c r="I13" s="298">
        <v>10642.96901058</v>
      </c>
      <c r="J13" s="298">
        <v>10165.333740579999</v>
      </c>
      <c r="K13" s="302">
        <v>-4.4878010029456239E-2</v>
      </c>
      <c r="L13" s="298">
        <v>8372.5490699799993</v>
      </c>
      <c r="M13" s="298">
        <v>8715.9295817399998</v>
      </c>
      <c r="N13" s="298">
        <v>9057.2731488699992</v>
      </c>
      <c r="O13" s="306">
        <v>9756.1678993700007</v>
      </c>
      <c r="P13" s="306" cm="1">
        <f t="array" ref="P13">INDEX($E$2:$E$676, MATCH($B13, $B$2:$B$676, 0) * MATCH("Brazil", $A$2:$A$676, 0))</f>
        <v>23775.659263040001</v>
      </c>
      <c r="Q13" s="306">
        <f t="shared" si="1"/>
        <v>16044.942936350002</v>
      </c>
      <c r="R13" s="336">
        <f>INDEX('Base GDP'!$A$1:$E$76,MATCH(A13,'Base GDP'!$A$1:$A$76,0),4)</f>
        <v>1924364.2462229</v>
      </c>
      <c r="S13" s="336">
        <f>INDEX('Base GDP'!$A$1:$E$76,MATCH(A13,'Base GDP'!$A$1:$A$76,0),5)</f>
        <v>1980878.3634254001</v>
      </c>
      <c r="T13" s="335">
        <f t="shared" si="2"/>
        <v>5.5306416295510512E-3</v>
      </c>
      <c r="U13" s="335">
        <f t="shared" si="3"/>
        <v>5.131730412261038E-3</v>
      </c>
      <c r="V13" s="335">
        <f t="shared" si="4"/>
        <v>-3.989112172900133E-4</v>
      </c>
    </row>
    <row r="14" spans="1:23" x14ac:dyDescent="0.45">
      <c r="A14" s="293" t="s">
        <v>63</v>
      </c>
      <c r="B14" s="297" t="s">
        <v>3</v>
      </c>
      <c r="C14" s="293" t="str">
        <f t="shared" si="0"/>
        <v>CanadaManufacture of basic metals (C24)</v>
      </c>
      <c r="D14" s="297" t="s">
        <v>958</v>
      </c>
      <c r="E14" s="298">
        <v>8098.5557140600004</v>
      </c>
      <c r="F14" s="298">
        <v>7957.5198683600001</v>
      </c>
      <c r="G14" s="302">
        <v>-1.7414938006186209E-2</v>
      </c>
      <c r="H14" s="303">
        <v>15677.103548980002</v>
      </c>
      <c r="I14" s="298">
        <v>8931.2571638699992</v>
      </c>
      <c r="J14" s="298">
        <v>7957.5198683600001</v>
      </c>
      <c r="K14" s="302">
        <v>-0.10902578188534318</v>
      </c>
      <c r="L14" s="298">
        <v>7972.4368591399998</v>
      </c>
      <c r="M14" s="298">
        <v>8544.9086475799995</v>
      </c>
      <c r="N14" s="298">
        <v>9056.1625255100007</v>
      </c>
      <c r="O14" s="306">
        <v>10292.62247785</v>
      </c>
      <c r="P14" s="306" cm="1">
        <f t="array" ref="P14">INDEX($E$2:$E$676, MATCH($B14, $B$2:$B$676, 0) * MATCH("Brazil", $A$2:$A$676, 0))</f>
        <v>23775.659263040001</v>
      </c>
      <c r="Q14" s="306">
        <f t="shared" si="1"/>
        <v>15677.103548980002</v>
      </c>
      <c r="R14" s="336">
        <f>INDEX('Base GDP'!$A$1:$E$76,MATCH(A14,'Base GDP'!$A$1:$A$76,0),4)</f>
        <v>1599989.9756132001</v>
      </c>
      <c r="S14" s="336">
        <f>INDEX('Base GDP'!$A$1:$E$76,MATCH(A14,'Base GDP'!$A$1:$A$76,0),5)</f>
        <v>1743385.5162593001</v>
      </c>
      <c r="T14" s="335">
        <f t="shared" si="2"/>
        <v>5.5820707004411527E-3</v>
      </c>
      <c r="U14" s="335">
        <f t="shared" si="3"/>
        <v>4.5644063198563645E-3</v>
      </c>
      <c r="V14" s="335">
        <f t="shared" si="4"/>
        <v>-1.0176643805847882E-3</v>
      </c>
    </row>
    <row r="15" spans="1:23" x14ac:dyDescent="0.45">
      <c r="A15" s="293" t="s">
        <v>107</v>
      </c>
      <c r="B15" s="297" t="s">
        <v>3</v>
      </c>
      <c r="C15" s="293" t="str">
        <f t="shared" si="0"/>
        <v>IranManufacture of basic metals (C24)</v>
      </c>
      <c r="D15" s="297" t="s">
        <v>958</v>
      </c>
      <c r="E15" s="298">
        <v>4592.6478899100002</v>
      </c>
      <c r="F15" s="298">
        <v>7144.2696410299995</v>
      </c>
      <c r="G15" s="302">
        <v>0.55558836912489751</v>
      </c>
      <c r="H15" s="303">
        <v>19183.011373130001</v>
      </c>
      <c r="I15" s="298">
        <v>5443.3667765999999</v>
      </c>
      <c r="J15" s="298">
        <v>7144.2696410299995</v>
      </c>
      <c r="K15" s="302">
        <v>0.31247258070903072</v>
      </c>
      <c r="L15" s="298">
        <v>10037.02915762</v>
      </c>
      <c r="M15" s="298">
        <v>11951.284737489999</v>
      </c>
      <c r="N15" s="298">
        <v>12994.38292964</v>
      </c>
      <c r="O15" s="306">
        <v>15612.63983745</v>
      </c>
      <c r="P15" s="306" cm="1">
        <f t="array" ref="P15">INDEX($E$2:$E$676, MATCH($B15, $B$2:$B$676, 0) * MATCH("Brazil", $A$2:$A$676, 0))</f>
        <v>23775.659263040001</v>
      </c>
      <c r="Q15" s="306">
        <f t="shared" si="1"/>
        <v>19183.011373130001</v>
      </c>
      <c r="R15" s="336">
        <f>INDEX('Base GDP'!$A$1:$E$76,MATCH(A15,'Base GDP'!$A$1:$A$76,0),4)</f>
        <v>195024.47923529</v>
      </c>
      <c r="S15" s="336">
        <f>INDEX('Base GDP'!$A$1:$E$76,MATCH(A15,'Base GDP'!$A$1:$A$76,0),5)</f>
        <v>224406.94908081999</v>
      </c>
      <c r="T15" s="335">
        <f t="shared" si="2"/>
        <v>2.7911197599111516E-2</v>
      </c>
      <c r="U15" s="335">
        <f t="shared" si="3"/>
        <v>3.1836222854475849E-2</v>
      </c>
      <c r="V15" s="335">
        <f t="shared" si="4"/>
        <v>3.9250252553643325E-3</v>
      </c>
    </row>
    <row r="16" spans="1:23" x14ac:dyDescent="0.45">
      <c r="A16" s="293" t="s">
        <v>77</v>
      </c>
      <c r="B16" s="297" t="s">
        <v>3</v>
      </c>
      <c r="C16" s="293" t="str">
        <f t="shared" si="0"/>
        <v>SpainManufacture of basic metals (C24)</v>
      </c>
      <c r="D16" s="297" t="s">
        <v>958</v>
      </c>
      <c r="E16" s="298">
        <v>5480.76523103</v>
      </c>
      <c r="F16" s="298">
        <v>7045.5422583199997</v>
      </c>
      <c r="G16" s="302">
        <v>0.28550338526285146</v>
      </c>
      <c r="H16" s="303">
        <v>18294.894032010001</v>
      </c>
      <c r="I16" s="298">
        <v>10496.398807629999</v>
      </c>
      <c r="J16" s="298">
        <v>7045.5422583199997</v>
      </c>
      <c r="K16" s="302">
        <v>-0.32876576172024985</v>
      </c>
      <c r="L16" s="298">
        <v>5883.5203817499996</v>
      </c>
      <c r="M16" s="298">
        <v>5957.4748777599998</v>
      </c>
      <c r="N16" s="298">
        <v>5971.6484519400001</v>
      </c>
      <c r="O16" s="306">
        <v>6053.7537380200001</v>
      </c>
      <c r="P16" s="306" cm="1">
        <f t="array" ref="P16">INDEX($E$2:$E$676, MATCH($B16, $B$2:$B$676, 0) * MATCH("Brazil", $A$2:$A$676, 0))</f>
        <v>23775.659263040001</v>
      </c>
      <c r="Q16" s="306">
        <f t="shared" si="1"/>
        <v>18294.894032010001</v>
      </c>
      <c r="R16" s="336">
        <f>INDEX('Base GDP'!$A$1:$E$76,MATCH(A16,'Base GDP'!$A$1:$A$76,0),4)</f>
        <v>1259732.1048611</v>
      </c>
      <c r="S16" s="336">
        <f>INDEX('Base GDP'!$A$1:$E$76,MATCH(A16,'Base GDP'!$A$1:$A$76,0),5)</f>
        <v>1317888.2673469</v>
      </c>
      <c r="T16" s="335">
        <f t="shared" si="2"/>
        <v>8.3322468063853541E-3</v>
      </c>
      <c r="U16" s="335">
        <f t="shared" si="3"/>
        <v>5.3460846665732116E-3</v>
      </c>
      <c r="V16" s="335">
        <f t="shared" si="4"/>
        <v>-2.9861621398121424E-3</v>
      </c>
    </row>
    <row r="17" spans="1:22" x14ac:dyDescent="0.45">
      <c r="A17" s="293" t="s">
        <v>122</v>
      </c>
      <c r="B17" s="297" t="s">
        <v>3</v>
      </c>
      <c r="C17" s="293" t="str">
        <f t="shared" si="0"/>
        <v>VietnamManufacture of basic metals (C24)</v>
      </c>
      <c r="D17" s="297" t="s">
        <v>958</v>
      </c>
      <c r="E17" s="298">
        <v>1923.7092673100001</v>
      </c>
      <c r="F17" s="298">
        <v>6368.0868005100001</v>
      </c>
      <c r="G17" s="302">
        <v>2.3103166412535669</v>
      </c>
      <c r="H17" s="303">
        <v>21851.94999573</v>
      </c>
      <c r="I17" s="298">
        <v>2498.4727532900001</v>
      </c>
      <c r="J17" s="298">
        <v>6368.0868005100001</v>
      </c>
      <c r="K17" s="302">
        <v>1.5487917737443704</v>
      </c>
      <c r="L17" s="298">
        <v>8073.3543558900001</v>
      </c>
      <c r="M17" s="298">
        <v>11057.136950640001</v>
      </c>
      <c r="N17" s="298">
        <v>13830.205957480001</v>
      </c>
      <c r="O17" s="306">
        <v>21963.293087450002</v>
      </c>
      <c r="P17" s="306" cm="1">
        <f t="array" ref="P17">INDEX($E$2:$E$676, MATCH($B17, $B$2:$B$676, 0) * MATCH("Brazil", $A$2:$A$676, 0))</f>
        <v>23775.659263040001</v>
      </c>
      <c r="Q17" s="306">
        <f t="shared" si="1"/>
        <v>21851.94999573</v>
      </c>
      <c r="R17" s="336">
        <f>INDEX('Base GDP'!$A$1:$E$76,MATCH(A17,'Base GDP'!$A$1:$A$76,0),4)</f>
        <v>254018.52751081</v>
      </c>
      <c r="S17" s="336">
        <f>INDEX('Base GDP'!$A$1:$E$76,MATCH(A17,'Base GDP'!$A$1:$A$76,0),5)</f>
        <v>352775.42056751001</v>
      </c>
      <c r="T17" s="335">
        <f t="shared" si="2"/>
        <v>9.835789451159916E-3</v>
      </c>
      <c r="U17" s="335">
        <f t="shared" si="3"/>
        <v>1.8051390287525292E-2</v>
      </c>
      <c r="V17" s="335">
        <f t="shared" si="4"/>
        <v>8.2156008363653762E-3</v>
      </c>
    </row>
    <row r="18" spans="1:22" x14ac:dyDescent="0.45">
      <c r="A18" s="293" t="s">
        <v>108</v>
      </c>
      <c r="B18" s="297" t="s">
        <v>3</v>
      </c>
      <c r="C18" s="293" t="str">
        <f t="shared" si="0"/>
        <v>TurkeyManufacture of basic metals (C24)</v>
      </c>
      <c r="D18" s="297" t="s">
        <v>958</v>
      </c>
      <c r="E18" s="298">
        <v>4170.31212375</v>
      </c>
      <c r="F18" s="298">
        <v>6320.7399777600003</v>
      </c>
      <c r="G18" s="302">
        <v>0.51565153643135631</v>
      </c>
      <c r="H18" s="303">
        <v>19605.347139290003</v>
      </c>
      <c r="I18" s="298">
        <v>5408.3922127300002</v>
      </c>
      <c r="J18" s="298">
        <v>6320.7399777600003</v>
      </c>
      <c r="K18" s="302">
        <v>0.16869112467149883</v>
      </c>
      <c r="L18" s="298">
        <v>6313.29490394</v>
      </c>
      <c r="M18" s="298">
        <v>7394.0978163500004</v>
      </c>
      <c r="N18" s="298">
        <v>8302.77794894</v>
      </c>
      <c r="O18" s="306">
        <v>11135.141072550001</v>
      </c>
      <c r="P18" s="306" cm="1">
        <f t="array" ref="P18">INDEX($E$2:$E$676, MATCH($B18, $B$2:$B$676, 0) * MATCH("Brazil", $A$2:$A$676, 0))</f>
        <v>23775.659263040001</v>
      </c>
      <c r="Q18" s="306">
        <f t="shared" si="1"/>
        <v>19605.347139290003</v>
      </c>
      <c r="R18" s="336">
        <f>INDEX('Base GDP'!$A$1:$E$76,MATCH(A18,'Base GDP'!$A$1:$A$76,0),4)</f>
        <v>659235.83503077005</v>
      </c>
      <c r="S18" s="336">
        <f>INDEX('Base GDP'!$A$1:$E$76,MATCH(A18,'Base GDP'!$A$1:$A$76,0),5)</f>
        <v>865088.75381619995</v>
      </c>
      <c r="T18" s="335">
        <f t="shared" si="2"/>
        <v>8.2040324954082058E-3</v>
      </c>
      <c r="U18" s="335">
        <f t="shared" si="3"/>
        <v>7.3064641632168631E-3</v>
      </c>
      <c r="V18" s="335">
        <f t="shared" si="4"/>
        <v>-8.9756833219134264E-4</v>
      </c>
    </row>
    <row r="19" spans="1:22" x14ac:dyDescent="0.45">
      <c r="A19" s="293" t="s">
        <v>76</v>
      </c>
      <c r="B19" s="297" t="s">
        <v>3</v>
      </c>
      <c r="C19" s="293" t="str">
        <f t="shared" si="0"/>
        <v>United KingdomManufacture of basic metals (C24)</v>
      </c>
      <c r="D19" s="297" t="s">
        <v>958</v>
      </c>
      <c r="E19" s="298">
        <v>5215.7872937800003</v>
      </c>
      <c r="F19" s="298">
        <v>5575.6116688599996</v>
      </c>
      <c r="G19" s="302">
        <v>6.8987547768503132E-2</v>
      </c>
      <c r="H19" s="303">
        <v>18559.871969259999</v>
      </c>
      <c r="I19" s="298">
        <v>8009.2762484799996</v>
      </c>
      <c r="J19" s="298">
        <v>5575.6116688599996</v>
      </c>
      <c r="K19" s="302">
        <v>-0.3038557422815652</v>
      </c>
      <c r="L19" s="298">
        <v>5028.1659479399996</v>
      </c>
      <c r="M19" s="298">
        <v>5057.53282674</v>
      </c>
      <c r="N19" s="298">
        <v>5069.3897373500004</v>
      </c>
      <c r="O19" s="306">
        <v>5186.99908297</v>
      </c>
      <c r="P19" s="306" cm="1">
        <f t="array" ref="P19">INDEX($E$2:$E$676, MATCH($B19, $B$2:$B$676, 0) * MATCH("Brazil", $A$2:$A$676, 0))</f>
        <v>23775.659263040001</v>
      </c>
      <c r="Q19" s="306">
        <f t="shared" si="1"/>
        <v>18559.871969259999</v>
      </c>
      <c r="R19" s="336">
        <f>INDEX('Base GDP'!$A$1:$E$76,MATCH(A19,'Base GDP'!$A$1:$A$76,0),4)</f>
        <v>2643868.3114987002</v>
      </c>
      <c r="S19" s="336">
        <f>INDEX('Base GDP'!$A$1:$E$76,MATCH(A19,'Base GDP'!$A$1:$A$76,0),5)</f>
        <v>2777419.6130784</v>
      </c>
      <c r="T19" s="335">
        <f t="shared" si="2"/>
        <v>3.0293779057171989E-3</v>
      </c>
      <c r="U19" s="335">
        <f t="shared" si="3"/>
        <v>2.0074790437157519E-3</v>
      </c>
      <c r="V19" s="335">
        <f t="shared" si="4"/>
        <v>-1.021898862001447E-3</v>
      </c>
    </row>
    <row r="20" spans="1:22" x14ac:dyDescent="0.45">
      <c r="A20" s="293" t="s">
        <v>97</v>
      </c>
      <c r="B20" s="297" t="s">
        <v>3</v>
      </c>
      <c r="C20" s="293" t="str">
        <f t="shared" si="0"/>
        <v>FranceManufacture of basic metals (C24)</v>
      </c>
      <c r="D20" s="297" t="s">
        <v>958</v>
      </c>
      <c r="E20" s="298">
        <v>5364.8838049100004</v>
      </c>
      <c r="F20" s="298">
        <v>5315.0131062099999</v>
      </c>
      <c r="G20" s="302">
        <v>-9.2957649249286733E-3</v>
      </c>
      <c r="H20" s="303">
        <v>18410.77545813</v>
      </c>
      <c r="I20" s="298">
        <v>5821.1164279300001</v>
      </c>
      <c r="J20" s="298">
        <v>5315.0131062099999</v>
      </c>
      <c r="K20" s="302">
        <v>-8.694265575787008E-2</v>
      </c>
      <c r="L20" s="298">
        <v>4036.3331166799999</v>
      </c>
      <c r="M20" s="298">
        <v>4016.11061621</v>
      </c>
      <c r="N20" s="298">
        <v>4035.80505915</v>
      </c>
      <c r="O20" s="306">
        <v>4154.9711341399998</v>
      </c>
      <c r="P20" s="306" cm="1">
        <f t="array" ref="P20">INDEX($E$2:$E$676, MATCH($B20, $B$2:$B$676, 0) * MATCH("Brazil", $A$2:$A$676, 0))</f>
        <v>23775.659263040001</v>
      </c>
      <c r="Q20" s="306">
        <f t="shared" si="1"/>
        <v>18410.77545813</v>
      </c>
      <c r="R20" s="336">
        <f>INDEX('Base GDP'!$A$1:$E$76,MATCH(A20,'Base GDP'!$A$1:$A$76,0),4)</f>
        <v>2544956.5086996001</v>
      </c>
      <c r="S20" s="336">
        <f>INDEX('Base GDP'!$A$1:$E$76,MATCH(A20,'Base GDP'!$A$1:$A$76,0),5)</f>
        <v>2682424.2983101001</v>
      </c>
      <c r="T20" s="335">
        <f t="shared" si="2"/>
        <v>2.287314697925594E-3</v>
      </c>
      <c r="U20" s="335">
        <f t="shared" si="3"/>
        <v>1.9814214736864721E-3</v>
      </c>
      <c r="V20" s="335">
        <f t="shared" si="4"/>
        <v>-3.0589322423912185E-4</v>
      </c>
    </row>
    <row r="21" spans="1:22" x14ac:dyDescent="0.45">
      <c r="A21" s="293" t="s">
        <v>72</v>
      </c>
      <c r="B21" s="297" t="s">
        <v>3</v>
      </c>
      <c r="C21" s="293" t="str">
        <f t="shared" si="0"/>
        <v>AustriaManufacture of basic metals (C24)</v>
      </c>
      <c r="D21" s="297" t="s">
        <v>958</v>
      </c>
      <c r="E21" s="298">
        <v>4319.4708158800004</v>
      </c>
      <c r="F21" s="298">
        <v>5266.07337517</v>
      </c>
      <c r="G21" s="302">
        <v>0.21914780759947083</v>
      </c>
      <c r="H21" s="303">
        <v>19456.188447159999</v>
      </c>
      <c r="I21" s="298">
        <v>4961.31573974</v>
      </c>
      <c r="J21" s="298">
        <v>5266.07337517</v>
      </c>
      <c r="K21" s="302">
        <v>6.1426776971459374E-2</v>
      </c>
      <c r="L21" s="298">
        <v>5081.1565700600004</v>
      </c>
      <c r="M21" s="298">
        <v>5241.6556501900004</v>
      </c>
      <c r="N21" s="298">
        <v>5426.6060973200001</v>
      </c>
      <c r="O21" s="306">
        <v>5916.2828296600001</v>
      </c>
      <c r="P21" s="306" cm="1">
        <f t="array" ref="P21">INDEX($E$2:$E$676, MATCH($B21, $B$2:$B$676, 0) * MATCH("Brazil", $A$2:$A$676, 0))</f>
        <v>23775.659263040001</v>
      </c>
      <c r="Q21" s="306">
        <f t="shared" si="1"/>
        <v>19456.188447159999</v>
      </c>
      <c r="R21" s="336">
        <f>INDEX('Base GDP'!$A$1:$E$76,MATCH(A21,'Base GDP'!$A$1:$A$76,0),4)</f>
        <v>410010.85265116999</v>
      </c>
      <c r="S21" s="336">
        <f>INDEX('Base GDP'!$A$1:$E$76,MATCH(A21,'Base GDP'!$A$1:$A$76,0),5)</f>
        <v>432694.04992214998</v>
      </c>
      <c r="T21" s="335">
        <f t="shared" si="2"/>
        <v>1.2100449799461772E-2</v>
      </c>
      <c r="U21" s="335">
        <f t="shared" si="3"/>
        <v>1.2170431685199897E-2</v>
      </c>
      <c r="V21" s="335">
        <f t="shared" si="4"/>
        <v>6.9981885738125416E-5</v>
      </c>
    </row>
    <row r="22" spans="1:22" x14ac:dyDescent="0.45">
      <c r="A22" s="293" t="s">
        <v>109</v>
      </c>
      <c r="B22" s="297" t="s">
        <v>3</v>
      </c>
      <c r="C22" s="293" t="str">
        <f t="shared" si="0"/>
        <v>ThailandManufacture of basic metals (C24)</v>
      </c>
      <c r="D22" s="297" t="s">
        <v>958</v>
      </c>
      <c r="E22" s="298">
        <v>4495.6668373399998</v>
      </c>
      <c r="F22" s="298">
        <v>4698.8037965800004</v>
      </c>
      <c r="G22" s="302">
        <v>4.5185056319741124E-2</v>
      </c>
      <c r="H22" s="303">
        <v>19279.992425700002</v>
      </c>
      <c r="I22" s="298">
        <v>4163.0137165400001</v>
      </c>
      <c r="J22" s="298">
        <v>4698.8037965800004</v>
      </c>
      <c r="K22" s="302">
        <v>0.12870245368427735</v>
      </c>
      <c r="L22" s="298">
        <v>4279.1083666499999</v>
      </c>
      <c r="M22" s="298">
        <v>4948.9446198599999</v>
      </c>
      <c r="N22" s="298">
        <v>5486.7879240700004</v>
      </c>
      <c r="O22" s="306">
        <v>6874.5781623299999</v>
      </c>
      <c r="P22" s="306" cm="1">
        <f t="array" ref="P22">INDEX($E$2:$E$676, MATCH($B22, $B$2:$B$676, 0) * MATCH("Brazil", $A$2:$A$676, 0))</f>
        <v>23775.659263040001</v>
      </c>
      <c r="Q22" s="306">
        <f t="shared" si="1"/>
        <v>19279.992425700002</v>
      </c>
      <c r="R22" s="336">
        <f>INDEX('Base GDP'!$A$1:$E$76,MATCH(A22,'Base GDP'!$A$1:$A$76,0),4)</f>
        <v>474324.68093352998</v>
      </c>
      <c r="S22" s="336">
        <f>INDEX('Base GDP'!$A$1:$E$76,MATCH(A22,'Base GDP'!$A$1:$A$76,0),5)</f>
        <v>518585.14704719</v>
      </c>
      <c r="T22" s="335">
        <f t="shared" si="2"/>
        <v>8.7767174761951474E-3</v>
      </c>
      <c r="U22" s="335">
        <f t="shared" si="3"/>
        <v>9.060814455128274E-3</v>
      </c>
      <c r="V22" s="335">
        <f t="shared" si="4"/>
        <v>2.8409697893312658E-4</v>
      </c>
    </row>
    <row r="23" spans="1:22" x14ac:dyDescent="0.45">
      <c r="A23" s="293" t="s">
        <v>142</v>
      </c>
      <c r="B23" s="297" t="s">
        <v>3</v>
      </c>
      <c r="C23" s="293" t="str">
        <f t="shared" si="0"/>
        <v>ArgentinaManufacture of basic metals (C24)</v>
      </c>
      <c r="D23" s="297" t="s">
        <v>958</v>
      </c>
      <c r="E23" s="298">
        <v>4557.7005179400003</v>
      </c>
      <c r="F23" s="298">
        <v>3877.8902292399998</v>
      </c>
      <c r="G23" s="302">
        <v>-0.14915641912498079</v>
      </c>
      <c r="H23" s="303">
        <v>19217.958745100001</v>
      </c>
      <c r="I23" s="298">
        <v>4096.280471</v>
      </c>
      <c r="J23" s="298">
        <v>3877.8902292399998</v>
      </c>
      <c r="K23" s="302">
        <v>-5.3314279455743852E-2</v>
      </c>
      <c r="L23" s="298">
        <v>4013.3591834899999</v>
      </c>
      <c r="M23" s="298">
        <v>4459.09005041</v>
      </c>
      <c r="N23" s="298">
        <v>4785.5046593099996</v>
      </c>
      <c r="O23" s="306">
        <v>5669.6173165800001</v>
      </c>
      <c r="P23" s="306" cm="1">
        <f t="array" ref="P23">INDEX($E$2:$E$676, MATCH($B23, $B$2:$B$676, 0) * MATCH("Brazil", $A$2:$A$676, 0))</f>
        <v>23775.659263040001</v>
      </c>
      <c r="Q23" s="306">
        <f t="shared" si="1"/>
        <v>19217.958745100001</v>
      </c>
      <c r="R23" s="336">
        <f>INDEX('Base GDP'!$A$1:$E$76,MATCH(A23,'Base GDP'!$A$1:$A$76,0),4)</f>
        <v>464976.94374428003</v>
      </c>
      <c r="S23" s="336">
        <f>INDEX('Base GDP'!$A$1:$E$76,MATCH(A23,'Base GDP'!$A$1:$A$76,0),5)</f>
        <v>445673.70595729002</v>
      </c>
      <c r="T23" s="335">
        <f t="shared" si="2"/>
        <v>8.8096421255089187E-3</v>
      </c>
      <c r="U23" s="335">
        <f t="shared" si="3"/>
        <v>8.7011869387951454E-3</v>
      </c>
      <c r="V23" s="335">
        <f t="shared" si="4"/>
        <v>-1.0845518671377327E-4</v>
      </c>
    </row>
    <row r="24" spans="1:22" x14ac:dyDescent="0.45">
      <c r="A24" s="293" t="s">
        <v>105</v>
      </c>
      <c r="B24" s="297" t="s">
        <v>3</v>
      </c>
      <c r="C24" s="293" t="str">
        <f t="shared" si="0"/>
        <v>Saudi ArabiaManufacture of basic metals (C24)</v>
      </c>
      <c r="D24" s="297" t="s">
        <v>958</v>
      </c>
      <c r="E24" s="298">
        <v>2648.4915211399998</v>
      </c>
      <c r="F24" s="298">
        <v>3666.7461781500001</v>
      </c>
      <c r="G24" s="302">
        <v>0.38446589271001685</v>
      </c>
      <c r="H24" s="303">
        <v>21127.167741900001</v>
      </c>
      <c r="I24" s="298">
        <v>3158.5169344800001</v>
      </c>
      <c r="J24" s="298">
        <v>3666.7461781500001</v>
      </c>
      <c r="K24" s="302">
        <v>0.16090755699990322</v>
      </c>
      <c r="L24" s="298">
        <v>4104.1571812599996</v>
      </c>
      <c r="M24" s="298">
        <v>4551.66780328</v>
      </c>
      <c r="N24" s="298">
        <v>5109.7685781700002</v>
      </c>
      <c r="O24" s="306">
        <v>6192.9242941700004</v>
      </c>
      <c r="P24" s="306" cm="1">
        <f t="array" ref="P24">INDEX($E$2:$E$676, MATCH($B24, $B$2:$B$676, 0) * MATCH("Brazil", $A$2:$A$676, 0))</f>
        <v>23775.659263040001</v>
      </c>
      <c r="Q24" s="306">
        <f t="shared" si="1"/>
        <v>21127.167741900001</v>
      </c>
      <c r="R24" s="336">
        <f>INDEX('Base GDP'!$A$1:$E$76,MATCH(A24,'Base GDP'!$A$1:$A$76,0),4)</f>
        <v>791157.39281293005</v>
      </c>
      <c r="S24" s="336">
        <f>INDEX('Base GDP'!$A$1:$E$76,MATCH(A24,'Base GDP'!$A$1:$A$76,0),5)</f>
        <v>836861.61444072996</v>
      </c>
      <c r="T24" s="335">
        <f t="shared" si="2"/>
        <v>3.9922738043943612E-3</v>
      </c>
      <c r="U24" s="335">
        <f t="shared" si="3"/>
        <v>4.3815442301060334E-3</v>
      </c>
      <c r="V24" s="335">
        <f t="shared" si="4"/>
        <v>3.8927042571167223E-4</v>
      </c>
    </row>
    <row r="25" spans="1:22" x14ac:dyDescent="0.45">
      <c r="A25" s="293" t="s">
        <v>120</v>
      </c>
      <c r="B25" s="297" t="s">
        <v>3</v>
      </c>
      <c r="C25" s="293" t="str">
        <f t="shared" si="0"/>
        <v>AustraliaManufacture of basic metals (C24)</v>
      </c>
      <c r="D25" s="297" t="s">
        <v>958</v>
      </c>
      <c r="E25" s="298">
        <v>5004.8097427299999</v>
      </c>
      <c r="F25" s="298">
        <v>3598.2750256999998</v>
      </c>
      <c r="G25" s="302">
        <v>-0.28103660065662561</v>
      </c>
      <c r="H25" s="303">
        <v>18770.849520310003</v>
      </c>
      <c r="I25" s="298">
        <v>3932.3951655699998</v>
      </c>
      <c r="J25" s="298">
        <v>3598.2750256999998</v>
      </c>
      <c r="K25" s="302">
        <v>-8.4966064142124265E-2</v>
      </c>
      <c r="L25" s="298">
        <v>3289.81670876</v>
      </c>
      <c r="M25" s="298">
        <v>3868.3378308000001</v>
      </c>
      <c r="N25" s="298">
        <v>4312.3602027500001</v>
      </c>
      <c r="O25" s="306">
        <v>5479.4798820300002</v>
      </c>
      <c r="P25" s="306" cm="1">
        <f t="array" ref="P25">INDEX($E$2:$E$676, MATCH($B25, $B$2:$B$676, 0) * MATCH("Brazil", $A$2:$A$676, 0))</f>
        <v>23775.659263040001</v>
      </c>
      <c r="Q25" s="306">
        <f t="shared" si="1"/>
        <v>18770.849520310003</v>
      </c>
      <c r="R25" s="336">
        <f>INDEX('Base GDP'!$A$1:$E$76,MATCH(A25,'Base GDP'!$A$1:$A$76,0),4)</f>
        <v>1256563.3075111001</v>
      </c>
      <c r="S25" s="336">
        <f>INDEX('Base GDP'!$A$1:$E$76,MATCH(A25,'Base GDP'!$A$1:$A$76,0),5)</f>
        <v>1430586.2916371</v>
      </c>
      <c r="T25" s="335">
        <f t="shared" si="2"/>
        <v>3.1294843181112562E-3</v>
      </c>
      <c r="U25" s="335">
        <f t="shared" si="3"/>
        <v>2.5152450060053995E-3</v>
      </c>
      <c r="V25" s="335">
        <f t="shared" si="4"/>
        <v>-6.1423931210585671E-4</v>
      </c>
    </row>
    <row r="26" spans="1:22" x14ac:dyDescent="0.45">
      <c r="A26" s="293" t="s">
        <v>74</v>
      </c>
      <c r="B26" s="297" t="s">
        <v>3</v>
      </c>
      <c r="C26" s="293" t="str">
        <f t="shared" si="0"/>
        <v>SwedenManufacture of basic metals (C24)</v>
      </c>
      <c r="D26" s="297" t="s">
        <v>958</v>
      </c>
      <c r="E26" s="298">
        <v>3221.1007426599999</v>
      </c>
      <c r="F26" s="298">
        <v>3550.4990801499998</v>
      </c>
      <c r="G26" s="302">
        <v>0.10226266230281933</v>
      </c>
      <c r="H26" s="303">
        <v>20554.55852038</v>
      </c>
      <c r="I26" s="298">
        <v>3447.9898567800001</v>
      </c>
      <c r="J26" s="298">
        <v>3550.4990801499998</v>
      </c>
      <c r="K26" s="302">
        <v>2.9730140640764846E-2</v>
      </c>
      <c r="L26" s="298">
        <v>3379.23477056</v>
      </c>
      <c r="M26" s="298">
        <v>3550.3600981999998</v>
      </c>
      <c r="N26" s="298">
        <v>3666.8272843700001</v>
      </c>
      <c r="O26" s="306">
        <v>3990.92184301</v>
      </c>
      <c r="P26" s="306" cm="1">
        <f t="array" ref="P26">INDEX($E$2:$E$676, MATCH($B26, $B$2:$B$676, 0) * MATCH("Brazil", $A$2:$A$676, 0))</f>
        <v>23775.659263040001</v>
      </c>
      <c r="Q26" s="306">
        <f t="shared" si="1"/>
        <v>20554.55852038</v>
      </c>
      <c r="R26" s="336">
        <f>INDEX('Base GDP'!$A$1:$E$76,MATCH(A26,'Base GDP'!$A$1:$A$76,0),4)</f>
        <v>490179.06760786998</v>
      </c>
      <c r="S26" s="336">
        <f>INDEX('Base GDP'!$A$1:$E$76,MATCH(A26,'Base GDP'!$A$1:$A$76,0),5)</f>
        <v>552840.30345001002</v>
      </c>
      <c r="T26" s="335">
        <f t="shared" si="2"/>
        <v>7.0341434072380641E-3</v>
      </c>
      <c r="U26" s="335">
        <f t="shared" si="3"/>
        <v>6.4222869750867389E-3</v>
      </c>
      <c r="V26" s="335">
        <f t="shared" si="4"/>
        <v>-6.1185643215132517E-4</v>
      </c>
    </row>
    <row r="27" spans="1:22" x14ac:dyDescent="0.45">
      <c r="A27" s="293" t="s">
        <v>143</v>
      </c>
      <c r="B27" s="297" t="s">
        <v>3</v>
      </c>
      <c r="C27" s="293" t="str">
        <f t="shared" si="0"/>
        <v>United Arab EmiratesManufacture of basic metals (C24)</v>
      </c>
      <c r="D27" s="297" t="s">
        <v>958</v>
      </c>
      <c r="E27" s="298">
        <v>3886.1385116299998</v>
      </c>
      <c r="F27" s="298">
        <v>3379.2288185100001</v>
      </c>
      <c r="G27" s="302">
        <v>-0.13044045949545469</v>
      </c>
      <c r="H27" s="303">
        <v>19889.52075141</v>
      </c>
      <c r="I27" s="298">
        <v>4405.3010960000001</v>
      </c>
      <c r="J27" s="298">
        <v>3379.2288185100001</v>
      </c>
      <c r="K27" s="302">
        <v>-0.23291762699754404</v>
      </c>
      <c r="L27" s="298">
        <v>3996.9316197200001</v>
      </c>
      <c r="M27" s="298">
        <v>4475.0000840000002</v>
      </c>
      <c r="N27" s="298">
        <v>4865.0054748399998</v>
      </c>
      <c r="O27" s="306">
        <v>5842.13051817</v>
      </c>
      <c r="P27" s="306" cm="1">
        <f t="array" ref="P27">INDEX($E$2:$E$676, MATCH($B27, $B$2:$B$676, 0) * MATCH("Brazil", $A$2:$A$676, 0))</f>
        <v>23775.659263040001</v>
      </c>
      <c r="Q27" s="306">
        <f t="shared" si="1"/>
        <v>19889.52075141</v>
      </c>
      <c r="R27" s="336">
        <f>INDEX('Base GDP'!$A$1:$E$76,MATCH(A27,'Base GDP'!$A$1:$A$76,0),4)</f>
        <v>383753.13090967003</v>
      </c>
      <c r="S27" s="336">
        <f>INDEX('Base GDP'!$A$1:$E$76,MATCH(A27,'Base GDP'!$A$1:$A$76,0),5)</f>
        <v>414599.77007557999</v>
      </c>
      <c r="T27" s="335">
        <f t="shared" si="2"/>
        <v>1.1479518318345511E-2</v>
      </c>
      <c r="U27" s="335">
        <f t="shared" si="3"/>
        <v>8.150580541552108E-3</v>
      </c>
      <c r="V27" s="335">
        <f t="shared" si="4"/>
        <v>-3.3289377767934027E-3</v>
      </c>
    </row>
    <row r="28" spans="1:22" x14ac:dyDescent="0.45">
      <c r="A28" s="293" t="s">
        <v>118</v>
      </c>
      <c r="B28" s="297" t="s">
        <v>3</v>
      </c>
      <c r="C28" s="293" t="str">
        <f t="shared" si="0"/>
        <v>BelgiumManufacture of basic metals (C24)</v>
      </c>
      <c r="D28" s="297" t="s">
        <v>958</v>
      </c>
      <c r="E28" s="298">
        <v>3115.1387030400001</v>
      </c>
      <c r="F28" s="298">
        <v>3300.8474517099999</v>
      </c>
      <c r="G28" s="302">
        <v>5.9614921315949809E-2</v>
      </c>
      <c r="H28" s="303">
        <v>20660.520560000001</v>
      </c>
      <c r="I28" s="298">
        <v>3756.8373281600002</v>
      </c>
      <c r="J28" s="298">
        <v>3300.8474517099999</v>
      </c>
      <c r="K28" s="302">
        <v>-0.1213759970473175</v>
      </c>
      <c r="L28" s="298">
        <v>3044.1800072000001</v>
      </c>
      <c r="M28" s="298">
        <v>3163.1876889599998</v>
      </c>
      <c r="N28" s="298">
        <v>3263.3076840899998</v>
      </c>
      <c r="O28" s="306">
        <v>3539.0526024199999</v>
      </c>
      <c r="P28" s="306" cm="1">
        <f t="array" ref="P28">INDEX($E$2:$E$676, MATCH($B28, $B$2:$B$676, 0) * MATCH("Brazil", $A$2:$A$676, 0))</f>
        <v>23775.659263040001</v>
      </c>
      <c r="Q28" s="306">
        <f t="shared" si="1"/>
        <v>20660.520560000001</v>
      </c>
      <c r="R28" s="336">
        <f>INDEX('Base GDP'!$A$1:$E$76,MATCH(A28,'Base GDP'!$A$1:$A$76,0),4)</f>
        <v>500331.50984029</v>
      </c>
      <c r="S28" s="336">
        <f>INDEX('Base GDP'!$A$1:$E$76,MATCH(A28,'Base GDP'!$A$1:$A$76,0),5)</f>
        <v>542439.84157398995</v>
      </c>
      <c r="T28" s="335">
        <f t="shared" si="2"/>
        <v>7.508696242935437E-3</v>
      </c>
      <c r="U28" s="335">
        <f t="shared" si="3"/>
        <v>6.0851862247654556E-3</v>
      </c>
      <c r="V28" s="335">
        <f t="shared" si="4"/>
        <v>-1.4235100181699814E-3</v>
      </c>
    </row>
    <row r="29" spans="1:22" x14ac:dyDescent="0.45">
      <c r="A29" s="293" t="s">
        <v>112</v>
      </c>
      <c r="B29" s="297" t="s">
        <v>3</v>
      </c>
      <c r="C29" s="293" t="str">
        <f t="shared" si="0"/>
        <v>PolandManufacture of basic metals (C24)</v>
      </c>
      <c r="D29" s="297" t="s">
        <v>958</v>
      </c>
      <c r="E29" s="298">
        <v>2584.7116854999999</v>
      </c>
      <c r="F29" s="298">
        <v>2807.1882382899998</v>
      </c>
      <c r="G29" s="302">
        <v>8.6074030630988174E-2</v>
      </c>
      <c r="H29" s="303">
        <v>21190.947577540002</v>
      </c>
      <c r="I29" s="298">
        <v>2703.5757635599998</v>
      </c>
      <c r="J29" s="298">
        <v>2807.1882382899998</v>
      </c>
      <c r="K29" s="302">
        <v>3.8324235675779805E-2</v>
      </c>
      <c r="L29" s="298">
        <v>2732.26702467</v>
      </c>
      <c r="M29" s="298">
        <v>2936.3744646</v>
      </c>
      <c r="N29" s="298">
        <v>3053.4748141599998</v>
      </c>
      <c r="O29" s="306">
        <v>3208.99866359</v>
      </c>
      <c r="P29" s="306" cm="1">
        <f t="array" ref="P29">INDEX($E$2:$E$676, MATCH($B29, $B$2:$B$676, 0) * MATCH("Brazil", $A$2:$A$676, 0))</f>
        <v>23775.659263040001</v>
      </c>
      <c r="Q29" s="306">
        <f t="shared" si="1"/>
        <v>21190.947577540002</v>
      </c>
      <c r="R29" s="336">
        <f>INDEX('Base GDP'!$A$1:$E$76,MATCH(A29,'Base GDP'!$A$1:$A$76,0),4)</f>
        <v>496555.53410177003</v>
      </c>
      <c r="S29" s="336">
        <f>INDEX('Base GDP'!$A$1:$E$76,MATCH(A29,'Base GDP'!$A$1:$A$76,0),5)</f>
        <v>623108.57565016998</v>
      </c>
      <c r="T29" s="335">
        <f t="shared" si="2"/>
        <v>5.4446594144813149E-3</v>
      </c>
      <c r="U29" s="335">
        <f t="shared" si="3"/>
        <v>4.5051349764539776E-3</v>
      </c>
      <c r="V29" s="335">
        <f t="shared" si="4"/>
        <v>-9.3952443802733723E-4</v>
      </c>
    </row>
    <row r="30" spans="1:22" x14ac:dyDescent="0.45">
      <c r="A30" s="293" t="s">
        <v>66</v>
      </c>
      <c r="B30" s="297" t="s">
        <v>3</v>
      </c>
      <c r="C30" s="293" t="str">
        <f t="shared" si="0"/>
        <v>NetherlandsManufacture of basic metals (C24)</v>
      </c>
      <c r="D30" s="297" t="s">
        <v>958</v>
      </c>
      <c r="E30" s="298">
        <v>2093.0221083599999</v>
      </c>
      <c r="F30" s="298">
        <v>2717.6470896000001</v>
      </c>
      <c r="G30" s="302">
        <v>0.29843209909016633</v>
      </c>
      <c r="H30" s="303">
        <v>21682.63715468</v>
      </c>
      <c r="I30" s="298">
        <v>2283.8526779200001</v>
      </c>
      <c r="J30" s="298">
        <v>2717.6470896000001</v>
      </c>
      <c r="K30" s="302">
        <v>0.18993975218886483</v>
      </c>
      <c r="L30" s="298">
        <v>2159.1478766800001</v>
      </c>
      <c r="M30" s="298">
        <v>2208.8238518100002</v>
      </c>
      <c r="N30" s="298">
        <v>2255.32152189</v>
      </c>
      <c r="O30" s="306">
        <v>2349.9289359899999</v>
      </c>
      <c r="P30" s="306" cm="1">
        <f t="array" ref="P30">INDEX($E$2:$E$676, MATCH($B30, $B$2:$B$676, 0) * MATCH("Brazil", $A$2:$A$676, 0))</f>
        <v>23775.659263040001</v>
      </c>
      <c r="Q30" s="306">
        <f t="shared" si="1"/>
        <v>21682.63715468</v>
      </c>
      <c r="R30" s="336">
        <f>INDEX('Base GDP'!$A$1:$E$76,MATCH(A30,'Base GDP'!$A$1:$A$76,0),4)</f>
        <v>829203.89806390996</v>
      </c>
      <c r="S30" s="336">
        <f>INDEX('Base GDP'!$A$1:$E$76,MATCH(A30,'Base GDP'!$A$1:$A$76,0),5)</f>
        <v>928325.09368340997</v>
      </c>
      <c r="T30" s="335">
        <f t="shared" si="2"/>
        <v>2.7542715166348321E-3</v>
      </c>
      <c r="U30" s="335">
        <f t="shared" si="3"/>
        <v>2.9274734767934744E-3</v>
      </c>
      <c r="V30" s="335">
        <f t="shared" si="4"/>
        <v>1.7320196015864226E-4</v>
      </c>
    </row>
    <row r="31" spans="1:22" x14ac:dyDescent="0.45">
      <c r="A31" s="293" t="s">
        <v>144</v>
      </c>
      <c r="B31" s="297" t="s">
        <v>3</v>
      </c>
      <c r="C31" s="293" t="str">
        <f t="shared" si="0"/>
        <v>MalaysiaManufacture of basic metals (C24)</v>
      </c>
      <c r="D31" s="297" t="s">
        <v>958</v>
      </c>
      <c r="E31" s="298">
        <v>2112.0240565600002</v>
      </c>
      <c r="F31" s="298">
        <v>2622.81944441</v>
      </c>
      <c r="G31" s="302">
        <v>0.24185112203786518</v>
      </c>
      <c r="H31" s="303">
        <v>21663.635206480001</v>
      </c>
      <c r="I31" s="298">
        <v>2245.5612810799998</v>
      </c>
      <c r="J31" s="298">
        <v>2622.81944441</v>
      </c>
      <c r="K31" s="302">
        <v>0.16800172255755963</v>
      </c>
      <c r="L31" s="298">
        <v>3350.8215900800001</v>
      </c>
      <c r="M31" s="298">
        <v>4102.7878113999996</v>
      </c>
      <c r="N31" s="298">
        <v>4707.7746696800004</v>
      </c>
      <c r="O31" s="306">
        <v>6258.5678807300001</v>
      </c>
      <c r="P31" s="306" cm="1">
        <f t="array" ref="P31">INDEX($E$2:$E$676, MATCH($B31, $B$2:$B$676, 0) * MATCH("Brazil", $A$2:$A$676, 0))</f>
        <v>23775.659263040001</v>
      </c>
      <c r="Q31" s="306">
        <f t="shared" si="1"/>
        <v>21663.635206480001</v>
      </c>
      <c r="R31" s="336">
        <f>INDEX('Base GDP'!$A$1:$E$76,MATCH(A31,'Base GDP'!$A$1:$A$76,0),4)</f>
        <v>301830.41438700003</v>
      </c>
      <c r="S31" s="336">
        <f>INDEX('Base GDP'!$A$1:$E$76,MATCH(A31,'Base GDP'!$A$1:$A$76,0),5)</f>
        <v>356559.39228144003</v>
      </c>
      <c r="T31" s="335">
        <f t="shared" si="2"/>
        <v>7.4398111457409082E-3</v>
      </c>
      <c r="U31" s="335">
        <f t="shared" si="3"/>
        <v>7.3559118093283939E-3</v>
      </c>
      <c r="V31" s="335">
        <f t="shared" si="4"/>
        <v>-8.3899336412514292E-5</v>
      </c>
    </row>
    <row r="32" spans="1:22" x14ac:dyDescent="0.45">
      <c r="A32" s="293" t="s">
        <v>145</v>
      </c>
      <c r="B32" s="297" t="s">
        <v>3</v>
      </c>
      <c r="C32" s="293" t="str">
        <f t="shared" si="0"/>
        <v>South AfricaManufacture of basic metals (C24)</v>
      </c>
      <c r="D32" s="297" t="s">
        <v>958</v>
      </c>
      <c r="E32" s="298">
        <v>2487.5772692800001</v>
      </c>
      <c r="F32" s="298">
        <v>2211.9485150999999</v>
      </c>
      <c r="G32" s="302">
        <v>-0.11080208747034326</v>
      </c>
      <c r="H32" s="303">
        <v>21288.081993760003</v>
      </c>
      <c r="I32" s="298">
        <v>2206.6787577700002</v>
      </c>
      <c r="J32" s="298">
        <v>2211.9485150999999</v>
      </c>
      <c r="K32" s="302">
        <v>2.3880944661491821E-3</v>
      </c>
      <c r="L32" s="298">
        <v>2002.6990774200001</v>
      </c>
      <c r="M32" s="298">
        <v>2083.54946333</v>
      </c>
      <c r="N32" s="298">
        <v>2173.6191003600002</v>
      </c>
      <c r="O32" s="306">
        <v>2385.8232286500001</v>
      </c>
      <c r="P32" s="306" cm="1">
        <f t="array" ref="P32">INDEX($E$2:$E$676, MATCH($B32, $B$2:$B$676, 0) * MATCH("Brazil", $A$2:$A$676, 0))</f>
        <v>23775.659263040001</v>
      </c>
      <c r="Q32" s="306">
        <f t="shared" si="1"/>
        <v>21288.081993760003</v>
      </c>
      <c r="R32" s="336">
        <f>INDEX('Base GDP'!$A$1:$E$76,MATCH(A32,'Base GDP'!$A$1:$A$76,0),4)</f>
        <v>375376.48654821003</v>
      </c>
      <c r="S32" s="336">
        <f>INDEX('Base GDP'!$A$1:$E$76,MATCH(A32,'Base GDP'!$A$1:$A$76,0),5)</f>
        <v>383209.69906191999</v>
      </c>
      <c r="T32" s="335">
        <f t="shared" si="2"/>
        <v>5.8785748091512227E-3</v>
      </c>
      <c r="U32" s="335">
        <f t="shared" si="3"/>
        <v>5.7721621360700155E-3</v>
      </c>
      <c r="V32" s="335">
        <f t="shared" si="4"/>
        <v>-1.0641267308120726E-4</v>
      </c>
    </row>
    <row r="33" spans="1:22" x14ac:dyDescent="0.45">
      <c r="A33" s="293" t="s">
        <v>146</v>
      </c>
      <c r="B33" s="297" t="s">
        <v>3</v>
      </c>
      <c r="C33" s="293" t="str">
        <f t="shared" si="0"/>
        <v>EgyptManufacture of basic metals (C24)</v>
      </c>
      <c r="D33" s="297" t="s">
        <v>958</v>
      </c>
      <c r="E33" s="298">
        <v>2732.70841552</v>
      </c>
      <c r="F33" s="298">
        <v>2025.88535875</v>
      </c>
      <c r="G33" s="302">
        <v>-0.25865293668205014</v>
      </c>
      <c r="H33" s="303">
        <v>21042.950847520002</v>
      </c>
      <c r="I33" s="298">
        <v>2419.5355961599998</v>
      </c>
      <c r="J33" s="298">
        <v>2025.88535875</v>
      </c>
      <c r="K33" s="302">
        <v>-0.1626966092314388</v>
      </c>
      <c r="L33" s="298">
        <v>2506.9265997500002</v>
      </c>
      <c r="M33" s="298">
        <v>2881.11284897</v>
      </c>
      <c r="N33" s="298">
        <v>3117.8931449800002</v>
      </c>
      <c r="O33" s="306">
        <v>3767.26604645</v>
      </c>
      <c r="P33" s="306" cm="1">
        <f t="array" ref="P33">INDEX($E$2:$E$676, MATCH($B33, $B$2:$B$676, 0) * MATCH("Brazil", $A$2:$A$676, 0))</f>
        <v>23775.659263040001</v>
      </c>
      <c r="Q33" s="306">
        <f t="shared" si="1"/>
        <v>21042.950847520002</v>
      </c>
      <c r="R33" s="336">
        <f>INDEX('Base GDP'!$A$1:$E$76,MATCH(A33,'Base GDP'!$A$1:$A$76,0),4)</f>
        <v>276522.47435759002</v>
      </c>
      <c r="S33" s="336">
        <f>INDEX('Base GDP'!$A$1:$E$76,MATCH(A33,'Base GDP'!$A$1:$A$76,0),5)</f>
        <v>357883.01385108999</v>
      </c>
      <c r="T33" s="335">
        <f t="shared" si="2"/>
        <v>8.7498696146886563E-3</v>
      </c>
      <c r="U33" s="335">
        <f t="shared" si="3"/>
        <v>5.6607474519395377E-3</v>
      </c>
      <c r="V33" s="335">
        <f t="shared" si="4"/>
        <v>-3.0891221627491186E-3</v>
      </c>
    </row>
    <row r="34" spans="1:22" x14ac:dyDescent="0.45">
      <c r="A34" s="293" t="s">
        <v>126</v>
      </c>
      <c r="B34" s="297" t="s">
        <v>3</v>
      </c>
      <c r="C34" s="293" t="str">
        <f t="shared" si="0"/>
        <v>FinlandManufacture of basic metals (C24)</v>
      </c>
      <c r="D34" s="297" t="s">
        <v>958</v>
      </c>
      <c r="E34" s="298">
        <v>663.44191636000005</v>
      </c>
      <c r="F34" s="298">
        <v>2004.1150200300001</v>
      </c>
      <c r="G34" s="302">
        <v>2.0207844433852706</v>
      </c>
      <c r="H34" s="303">
        <v>23112.217346680001</v>
      </c>
      <c r="I34" s="298">
        <v>922.79277537999997</v>
      </c>
      <c r="J34" s="298">
        <v>2004.1150200300001</v>
      </c>
      <c r="K34" s="302">
        <v>1.1717931408866078</v>
      </c>
      <c r="L34" s="298">
        <v>2399.19464681</v>
      </c>
      <c r="M34" s="298">
        <v>2646.7235586500001</v>
      </c>
      <c r="N34" s="298">
        <v>2831.5081439999999</v>
      </c>
      <c r="O34" s="306">
        <v>3317.6261451999999</v>
      </c>
      <c r="P34" s="306" cm="1">
        <f t="array" ref="P34">INDEX($E$2:$E$676, MATCH($B34, $B$2:$B$676, 0) * MATCH("Brazil", $A$2:$A$676, 0))</f>
        <v>23775.659263040001</v>
      </c>
      <c r="Q34" s="306">
        <f t="shared" si="1"/>
        <v>23112.217346680001</v>
      </c>
      <c r="R34" s="336">
        <f>INDEX('Base GDP'!$A$1:$E$76,MATCH(A34,'Base GDP'!$A$1:$A$76,0),4)</f>
        <v>247207.29862345001</v>
      </c>
      <c r="S34" s="336">
        <f>INDEX('Base GDP'!$A$1:$E$76,MATCH(A34,'Base GDP'!$A$1:$A$76,0),5)</f>
        <v>270499.52733732999</v>
      </c>
      <c r="T34" s="335">
        <f t="shared" si="2"/>
        <v>3.7328702692779802E-3</v>
      </c>
      <c r="U34" s="335">
        <f t="shared" si="3"/>
        <v>7.4089409314595294E-3</v>
      </c>
      <c r="V34" s="335">
        <f t="shared" si="4"/>
        <v>3.6760706621815492E-3</v>
      </c>
    </row>
    <row r="35" spans="1:22" x14ac:dyDescent="0.45">
      <c r="A35" s="293" t="s">
        <v>147</v>
      </c>
      <c r="B35" s="297" t="s">
        <v>3</v>
      </c>
      <c r="C35" s="293" t="str">
        <f t="shared" si="0"/>
        <v>PeruManufacture of basic metals (C24)</v>
      </c>
      <c r="D35" s="297" t="s">
        <v>958</v>
      </c>
      <c r="E35" s="298">
        <v>1656.7538382499999</v>
      </c>
      <c r="F35" s="298">
        <v>1938.8773249000001</v>
      </c>
      <c r="G35" s="302">
        <v>0.17028690692396542</v>
      </c>
      <c r="H35" s="303">
        <v>22118.905424790002</v>
      </c>
      <c r="I35" s="298">
        <v>1893.3755943199999</v>
      </c>
      <c r="J35" s="298">
        <v>1938.8773249000001</v>
      </c>
      <c r="K35" s="302">
        <v>2.4032067761146969E-2</v>
      </c>
      <c r="L35" s="298">
        <v>2353.8887631600001</v>
      </c>
      <c r="M35" s="298">
        <v>2682.8558932000001</v>
      </c>
      <c r="N35" s="298">
        <v>2962.4364470700002</v>
      </c>
      <c r="O35" s="306">
        <v>3746.4051055099999</v>
      </c>
      <c r="P35" s="306" cm="1">
        <f t="array" ref="P35">INDEX($E$2:$E$676, MATCH($B35, $B$2:$B$676, 0) * MATCH("Brazil", $A$2:$A$676, 0))</f>
        <v>23775.659263040001</v>
      </c>
      <c r="Q35" s="306">
        <f t="shared" si="1"/>
        <v>22118.905424790002</v>
      </c>
      <c r="R35" s="336">
        <f>INDEX('Base GDP'!$A$1:$E$76,MATCH(A35,'Base GDP'!$A$1:$A$76,0),4)</f>
        <v>205342.67167914001</v>
      </c>
      <c r="S35" s="336">
        <f>INDEX('Base GDP'!$A$1:$E$76,MATCH(A35,'Base GDP'!$A$1:$A$76,0),5)</f>
        <v>235110.76142220001</v>
      </c>
      <c r="T35" s="335">
        <f t="shared" si="2"/>
        <v>9.2205656955633188E-3</v>
      </c>
      <c r="U35" s="335">
        <f t="shared" si="3"/>
        <v>8.2466549517836076E-3</v>
      </c>
      <c r="V35" s="335">
        <f t="shared" si="4"/>
        <v>-9.7391074377971114E-4</v>
      </c>
    </row>
    <row r="36" spans="1:22" x14ac:dyDescent="0.45">
      <c r="A36" s="293" t="s">
        <v>148</v>
      </c>
      <c r="B36" s="297" t="s">
        <v>3</v>
      </c>
      <c r="C36" s="293" t="str">
        <f t="shared" si="0"/>
        <v>BahrainManufacture of basic metals (C24)</v>
      </c>
      <c r="D36" s="297" t="s">
        <v>958</v>
      </c>
      <c r="E36" s="298">
        <v>1797.6869492400001</v>
      </c>
      <c r="F36" s="298">
        <v>1871.1500223999999</v>
      </c>
      <c r="G36" s="302">
        <v>4.0865331525634874E-2</v>
      </c>
      <c r="H36" s="303">
        <v>21977.972313800001</v>
      </c>
      <c r="I36" s="298">
        <v>1868.8876518100001</v>
      </c>
      <c r="J36" s="298">
        <v>1871.1500223999999</v>
      </c>
      <c r="K36" s="302">
        <v>1.2105439231773207E-3</v>
      </c>
      <c r="L36" s="298">
        <v>1981.6616675299999</v>
      </c>
      <c r="M36" s="298">
        <v>2083.21483704</v>
      </c>
      <c r="N36" s="298">
        <v>2167.6423025499998</v>
      </c>
      <c r="O36" s="306">
        <v>2329.1042759500001</v>
      </c>
      <c r="P36" s="306" cm="1">
        <f t="array" ref="P36">INDEX($E$2:$E$676, MATCH($B36, $B$2:$B$676, 0) * MATCH("Brazil", $A$2:$A$676, 0))</f>
        <v>23775.659263040001</v>
      </c>
      <c r="Q36" s="306">
        <f t="shared" si="1"/>
        <v>21977.972313800001</v>
      </c>
      <c r="R36" s="336">
        <f>INDEX('Base GDP'!$A$1:$E$76,MATCH(A36,'Base GDP'!$A$1:$A$76,0),4)</f>
        <v>33332.328188890002</v>
      </c>
      <c r="S36" s="336">
        <f>INDEX('Base GDP'!$A$1:$E$76,MATCH(A36,'Base GDP'!$A$1:$A$76,0),5)</f>
        <v>36767.801730239997</v>
      </c>
      <c r="T36" s="335">
        <f t="shared" si="2"/>
        <v>5.6068320257116604E-2</v>
      </c>
      <c r="U36" s="335">
        <f t="shared" si="3"/>
        <v>5.0890995228062723E-2</v>
      </c>
      <c r="V36" s="335">
        <f t="shared" si="4"/>
        <v>-5.1773250290538808E-3</v>
      </c>
    </row>
    <row r="37" spans="1:22" x14ac:dyDescent="0.45">
      <c r="A37" s="293" t="s">
        <v>149</v>
      </c>
      <c r="B37" s="297" t="s">
        <v>3</v>
      </c>
      <c r="C37" s="293" t="str">
        <f t="shared" si="0"/>
        <v>UkraineManufacture of basic metals (C24)</v>
      </c>
      <c r="D37" s="297" t="s">
        <v>958</v>
      </c>
      <c r="E37" s="298">
        <v>2559.6334916599999</v>
      </c>
      <c r="F37" s="298">
        <v>1708.8052381099999</v>
      </c>
      <c r="G37" s="302">
        <v>-0.33240237570036324</v>
      </c>
      <c r="H37" s="303">
        <v>21216.025771380002</v>
      </c>
      <c r="I37" s="298">
        <v>1687.99633092</v>
      </c>
      <c r="J37" s="298">
        <v>1708.8052381099999</v>
      </c>
      <c r="K37" s="302">
        <v>1.2327578448383614E-2</v>
      </c>
      <c r="L37" s="298">
        <v>1030.98892718</v>
      </c>
      <c r="M37" s="298">
        <v>1346.41373103</v>
      </c>
      <c r="N37" s="298">
        <v>1801.88494309</v>
      </c>
      <c r="O37" s="306">
        <v>3351.3342050699998</v>
      </c>
      <c r="P37" s="306" cm="1">
        <f t="array" ref="P37">INDEX($E$2:$E$676, MATCH($B37, $B$2:$B$676, 0) * MATCH("Brazil", $A$2:$A$676, 0))</f>
        <v>23775.659263040001</v>
      </c>
      <c r="Q37" s="306">
        <f t="shared" si="1"/>
        <v>21216.025771380002</v>
      </c>
      <c r="R37" s="336">
        <f>INDEX('Base GDP'!$A$1:$E$76,MATCH(A37,'Base GDP'!$A$1:$A$76,0),4)</f>
        <v>137743.94890503999</v>
      </c>
      <c r="S37" s="336">
        <f>INDEX('Base GDP'!$A$1:$E$76,MATCH(A37,'Base GDP'!$A$1:$A$76,0),5)</f>
        <v>153275.23415388001</v>
      </c>
      <c r="T37" s="335">
        <f t="shared" si="2"/>
        <v>1.2254595169793605E-2</v>
      </c>
      <c r="U37" s="335">
        <f t="shared" si="3"/>
        <v>1.1148606280349586E-2</v>
      </c>
      <c r="V37" s="335">
        <f t="shared" si="4"/>
        <v>-1.1059888894440189E-3</v>
      </c>
    </row>
    <row r="38" spans="1:22" x14ac:dyDescent="0.45">
      <c r="A38" s="293" t="s">
        <v>150</v>
      </c>
      <c r="B38" s="297" t="s">
        <v>3</v>
      </c>
      <c r="C38" s="293" t="str">
        <f t="shared" si="0"/>
        <v>PhilippinesManufacture of basic metals (C24)</v>
      </c>
      <c r="D38" s="297" t="s">
        <v>958</v>
      </c>
      <c r="E38" s="298">
        <v>951.17297513000005</v>
      </c>
      <c r="F38" s="298">
        <v>1689.3654704200001</v>
      </c>
      <c r="G38" s="302">
        <v>0.77608648961994398</v>
      </c>
      <c r="H38" s="303">
        <v>22824.48628791</v>
      </c>
      <c r="I38" s="298">
        <v>1158.5444601300001</v>
      </c>
      <c r="J38" s="298">
        <v>1689.3654704200001</v>
      </c>
      <c r="K38" s="302">
        <v>0.458179231404237</v>
      </c>
      <c r="L38" s="298">
        <v>1825.70389045</v>
      </c>
      <c r="M38" s="298">
        <v>2105.5298079200002</v>
      </c>
      <c r="N38" s="298">
        <v>2323.1082857900001</v>
      </c>
      <c r="O38" s="306">
        <v>2860.6022729199999</v>
      </c>
      <c r="P38" s="306" cm="1">
        <f t="array" ref="P38">INDEX($E$2:$E$676, MATCH($B38, $B$2:$B$676, 0) * MATCH("Brazil", $A$2:$A$676, 0))</f>
        <v>23775.659263040001</v>
      </c>
      <c r="Q38" s="306">
        <f t="shared" si="1"/>
        <v>22824.48628791</v>
      </c>
      <c r="R38" s="336">
        <f>INDEX('Base GDP'!$A$1:$E$76,MATCH(A38,'Base GDP'!$A$1:$A$76,0),4)</f>
        <v>291518.00825125998</v>
      </c>
      <c r="S38" s="336">
        <f>INDEX('Base GDP'!$A$1:$E$76,MATCH(A38,'Base GDP'!$A$1:$A$76,0),5)</f>
        <v>360513.15606205998</v>
      </c>
      <c r="T38" s="335">
        <f t="shared" si="2"/>
        <v>3.9741780176113448E-3</v>
      </c>
      <c r="U38" s="335">
        <f t="shared" si="3"/>
        <v>4.6860022776233634E-3</v>
      </c>
      <c r="V38" s="335">
        <f t="shared" si="4"/>
        <v>7.1182426001201865E-4</v>
      </c>
    </row>
    <row r="39" spans="1:22" x14ac:dyDescent="0.45">
      <c r="A39" s="293" t="s">
        <v>111</v>
      </c>
      <c r="B39" s="297" t="s">
        <v>3</v>
      </c>
      <c r="C39" s="293" t="str">
        <f t="shared" si="0"/>
        <v>Czech RepublicManufacture of basic metals (C24)</v>
      </c>
      <c r="D39" s="297" t="s">
        <v>958</v>
      </c>
      <c r="E39" s="298">
        <v>1772.95104264</v>
      </c>
      <c r="F39" s="298">
        <v>1547.49532737</v>
      </c>
      <c r="G39" s="302">
        <v>-0.12716409525571937</v>
      </c>
      <c r="H39" s="303">
        <v>22002.7082204</v>
      </c>
      <c r="I39" s="298">
        <v>1825.15219998</v>
      </c>
      <c r="J39" s="298">
        <v>1547.49532737</v>
      </c>
      <c r="K39" s="302">
        <v>-0.15212806505289944</v>
      </c>
      <c r="L39" s="298">
        <v>1383.0061513600001</v>
      </c>
      <c r="M39" s="298">
        <v>1327.5079945299999</v>
      </c>
      <c r="N39" s="298">
        <v>1283.45456517</v>
      </c>
      <c r="O39" s="306">
        <v>1160.8516023899999</v>
      </c>
      <c r="P39" s="306" cm="1">
        <f t="array" ref="P39">INDEX($E$2:$E$676, MATCH($B39, $B$2:$B$676, 0) * MATCH("Brazil", $A$2:$A$676, 0))</f>
        <v>23775.659263040001</v>
      </c>
      <c r="Q39" s="306">
        <f t="shared" si="1"/>
        <v>22002.7082204</v>
      </c>
      <c r="R39" s="336">
        <f>INDEX('Base GDP'!$A$1:$E$76,MATCH(A39,'Base GDP'!$A$1:$A$76,0),4)</f>
        <v>220291.04889604999</v>
      </c>
      <c r="S39" s="336">
        <f>INDEX('Base GDP'!$A$1:$E$76,MATCH(A39,'Base GDP'!$A$1:$A$76,0),5)</f>
        <v>247058.51905223</v>
      </c>
      <c r="T39" s="335">
        <f t="shared" si="2"/>
        <v>8.285185481327683E-3</v>
      </c>
      <c r="U39" s="335">
        <f t="shared" si="3"/>
        <v>6.2636792825704916E-3</v>
      </c>
      <c r="V39" s="335">
        <f t="shared" si="4"/>
        <v>-2.0215061987571914E-3</v>
      </c>
    </row>
    <row r="40" spans="1:22" x14ac:dyDescent="0.45">
      <c r="A40" s="293" t="s">
        <v>124</v>
      </c>
      <c r="B40" s="297" t="s">
        <v>3</v>
      </c>
      <c r="C40" s="293" t="str">
        <f t="shared" si="0"/>
        <v>BangladeshManufacture of basic metals (C24)</v>
      </c>
      <c r="D40" s="297" t="s">
        <v>958</v>
      </c>
      <c r="E40" s="298">
        <v>604.06168889000003</v>
      </c>
      <c r="F40" s="298">
        <v>1532.8177477500001</v>
      </c>
      <c r="G40" s="302">
        <v>1.5375185613354252</v>
      </c>
      <c r="H40" s="303">
        <v>23171.597574150001</v>
      </c>
      <c r="I40" s="298">
        <v>1222.5231950499999</v>
      </c>
      <c r="J40" s="298">
        <v>1532.8177477500001</v>
      </c>
      <c r="K40" s="302">
        <v>0.25381485926515235</v>
      </c>
      <c r="L40" s="298">
        <v>2618.1214312100001</v>
      </c>
      <c r="M40" s="298">
        <v>3441.5357725600002</v>
      </c>
      <c r="N40" s="298">
        <v>4133.5361030100003</v>
      </c>
      <c r="O40" s="306">
        <v>6071.3219461999997</v>
      </c>
      <c r="P40" s="306" cm="1">
        <f t="array" ref="P40">INDEX($E$2:$E$676, MATCH($B40, $B$2:$B$676, 0) * MATCH("Brazil", $A$2:$A$676, 0))</f>
        <v>23775.659263040001</v>
      </c>
      <c r="Q40" s="306">
        <f t="shared" si="1"/>
        <v>23171.597574150001</v>
      </c>
      <c r="R40" s="336">
        <f>INDEX('Base GDP'!$A$1:$E$76,MATCH(A40,'Base GDP'!$A$1:$A$76,0),4)</f>
        <v>264392.25455249997</v>
      </c>
      <c r="S40" s="336">
        <f>INDEX('Base GDP'!$A$1:$E$76,MATCH(A40,'Base GDP'!$A$1:$A$76,0),5)</f>
        <v>386628.84638325998</v>
      </c>
      <c r="T40" s="335">
        <f t="shared" si="2"/>
        <v>4.6238994297287377E-3</v>
      </c>
      <c r="U40" s="335">
        <f t="shared" si="3"/>
        <v>3.964571609409967E-3</v>
      </c>
      <c r="V40" s="335">
        <f t="shared" si="4"/>
        <v>-6.5932782031877073E-4</v>
      </c>
    </row>
    <row r="41" spans="1:22" x14ac:dyDescent="0.45">
      <c r="A41" s="293" t="s">
        <v>67</v>
      </c>
      <c r="B41" s="297" t="s">
        <v>3</v>
      </c>
      <c r="C41" s="293" t="str">
        <f t="shared" si="0"/>
        <v>SwitzerlandManufacture of basic metals (C24)</v>
      </c>
      <c r="D41" s="297" t="s">
        <v>958</v>
      </c>
      <c r="E41" s="298">
        <v>1651.5824035400001</v>
      </c>
      <c r="F41" s="298">
        <v>1427.72120451</v>
      </c>
      <c r="G41" s="302">
        <v>-0.13554346337801626</v>
      </c>
      <c r="H41" s="303">
        <v>22124.076859500001</v>
      </c>
      <c r="I41" s="298">
        <v>1523.6506586600001</v>
      </c>
      <c r="J41" s="298">
        <v>1427.72120451</v>
      </c>
      <c r="K41" s="302">
        <v>-6.2960268224716787E-2</v>
      </c>
      <c r="L41" s="298">
        <v>1352.78194199</v>
      </c>
      <c r="M41" s="298">
        <v>1366.5426104600001</v>
      </c>
      <c r="N41" s="298">
        <v>1368.3083745900001</v>
      </c>
      <c r="O41" s="306">
        <v>1356.0426971899999</v>
      </c>
      <c r="P41" s="306" cm="1">
        <f t="array" ref="P41">INDEX($E$2:$E$676, MATCH($B41, $B$2:$B$676, 0) * MATCH("Brazil", $A$2:$A$676, 0))</f>
        <v>23775.659263040001</v>
      </c>
      <c r="Q41" s="306">
        <f t="shared" si="1"/>
        <v>22124.076859500001</v>
      </c>
      <c r="R41" s="336">
        <f>INDEX('Base GDP'!$A$1:$E$76,MATCH(A41,'Base GDP'!$A$1:$A$76,0),4)</f>
        <v>669989.49931316997</v>
      </c>
      <c r="S41" s="336">
        <f>INDEX('Base GDP'!$A$1:$E$76,MATCH(A41,'Base GDP'!$A$1:$A$76,0),5)</f>
        <v>743458.79269773001</v>
      </c>
      <c r="T41" s="335">
        <f t="shared" si="2"/>
        <v>2.274141102542575E-3</v>
      </c>
      <c r="U41" s="335">
        <f t="shared" si="3"/>
        <v>1.9203770518730987E-3</v>
      </c>
      <c r="V41" s="335">
        <f t="shared" si="4"/>
        <v>-3.5376405066947633E-4</v>
      </c>
    </row>
    <row r="42" spans="1:22" x14ac:dyDescent="0.45">
      <c r="A42" s="293" t="s">
        <v>151</v>
      </c>
      <c r="B42" s="297" t="s">
        <v>3</v>
      </c>
      <c r="C42" s="293" t="str">
        <f t="shared" si="0"/>
        <v>NorwayManufacture of basic metals (C24)</v>
      </c>
      <c r="D42" s="297" t="s">
        <v>958</v>
      </c>
      <c r="E42" s="298">
        <v>1606.50641318</v>
      </c>
      <c r="F42" s="298">
        <v>1385.8792081900001</v>
      </c>
      <c r="G42" s="302">
        <v>-0.13733353516670954</v>
      </c>
      <c r="H42" s="303">
        <v>22169.152849860002</v>
      </c>
      <c r="I42" s="298">
        <v>1403.33087718</v>
      </c>
      <c r="J42" s="298">
        <v>1385.8792081900001</v>
      </c>
      <c r="K42" s="302">
        <v>-1.2435890404598804E-2</v>
      </c>
      <c r="L42" s="298">
        <v>1258.5510657</v>
      </c>
      <c r="M42" s="298">
        <v>1298.36408757</v>
      </c>
      <c r="N42" s="298">
        <v>1325.9272357899999</v>
      </c>
      <c r="O42" s="306">
        <v>1398.43041756</v>
      </c>
      <c r="P42" s="306" cm="1">
        <f t="array" ref="P42">INDEX($E$2:$E$676, MATCH($B42, $B$2:$B$676, 0) * MATCH("Brazil", $A$2:$A$676, 0))</f>
        <v>23775.659263040001</v>
      </c>
      <c r="Q42" s="306">
        <f t="shared" si="1"/>
        <v>22169.152849860002</v>
      </c>
      <c r="R42" s="336">
        <f>INDEX('Base GDP'!$A$1:$E$76,MATCH(A42,'Base GDP'!$A$1:$A$76,0),4)</f>
        <v>386512.35690163</v>
      </c>
      <c r="S42" s="336">
        <f>INDEX('Base GDP'!$A$1:$E$76,MATCH(A42,'Base GDP'!$A$1:$A$76,0),5)</f>
        <v>418559.21595058002</v>
      </c>
      <c r="T42" s="335">
        <f t="shared" si="2"/>
        <v>3.6307529426210742E-3</v>
      </c>
      <c r="U42" s="335">
        <f t="shared" si="3"/>
        <v>3.3110708243338097E-3</v>
      </c>
      <c r="V42" s="335">
        <f t="shared" si="4"/>
        <v>-3.1968211828726448E-4</v>
      </c>
    </row>
    <row r="43" spans="1:22" x14ac:dyDescent="0.45">
      <c r="A43" s="293" t="s">
        <v>152</v>
      </c>
      <c r="B43" s="297" t="s">
        <v>3</v>
      </c>
      <c r="C43" s="293" t="str">
        <f t="shared" si="0"/>
        <v>ColombiaManufacture of basic metals (C24)</v>
      </c>
      <c r="D43" s="297" t="s">
        <v>958</v>
      </c>
      <c r="E43" s="298">
        <v>1418.2663462400001</v>
      </c>
      <c r="F43" s="298">
        <v>1367.81858085</v>
      </c>
      <c r="G43" s="302">
        <v>-3.5570022177952243E-2</v>
      </c>
      <c r="H43" s="303">
        <v>22357.3929168</v>
      </c>
      <c r="I43" s="298">
        <v>1551.27332514</v>
      </c>
      <c r="J43" s="298">
        <v>1367.81858085</v>
      </c>
      <c r="K43" s="302">
        <v>-0.11826074832650368</v>
      </c>
      <c r="L43" s="298">
        <v>1423.3236311200001</v>
      </c>
      <c r="M43" s="298">
        <v>1588.2500253400001</v>
      </c>
      <c r="N43" s="298">
        <v>1715.18207628</v>
      </c>
      <c r="O43" s="306">
        <v>2036.12815578</v>
      </c>
      <c r="P43" s="306" cm="1">
        <f t="array" ref="P43">INDEX($E$2:$E$676, MATCH($B43, $B$2:$B$676, 0) * MATCH("Brazil", $A$2:$A$676, 0))</f>
        <v>23775.659263040001</v>
      </c>
      <c r="Q43" s="306">
        <f t="shared" si="1"/>
        <v>22357.3929168</v>
      </c>
      <c r="R43" s="336">
        <f>INDEX('Base GDP'!$A$1:$E$76,MATCH(A43,'Base GDP'!$A$1:$A$76,0),4)</f>
        <v>295018.32730579999</v>
      </c>
      <c r="S43" s="336">
        <f>INDEX('Base GDP'!$A$1:$E$76,MATCH(A43,'Base GDP'!$A$1:$A$76,0),5)</f>
        <v>332655.81031924998</v>
      </c>
      <c r="T43" s="335">
        <f t="shared" si="2"/>
        <v>5.2582269695130978E-3</v>
      </c>
      <c r="U43" s="335">
        <f t="shared" si="3"/>
        <v>4.1118132869445555E-3</v>
      </c>
      <c r="V43" s="335">
        <f t="shared" si="4"/>
        <v>-1.1464136825685423E-3</v>
      </c>
    </row>
    <row r="44" spans="1:22" x14ac:dyDescent="0.45">
      <c r="A44" s="293" t="s">
        <v>153</v>
      </c>
      <c r="B44" s="297" t="s">
        <v>3</v>
      </c>
      <c r="C44" s="293" t="str">
        <f t="shared" si="0"/>
        <v>OmanManufacture of basic metals (C24)</v>
      </c>
      <c r="D44" s="297" t="s">
        <v>958</v>
      </c>
      <c r="E44" s="298">
        <v>1292.9391446</v>
      </c>
      <c r="F44" s="298">
        <v>1353.1725489200001</v>
      </c>
      <c r="G44" s="302">
        <v>4.6586418681472175E-2</v>
      </c>
      <c r="H44" s="303">
        <v>22482.72011844</v>
      </c>
      <c r="I44" s="298">
        <v>1214.31282317</v>
      </c>
      <c r="J44" s="298">
        <v>1353.1725489200001</v>
      </c>
      <c r="K44" s="302">
        <v>0.11435251534897128</v>
      </c>
      <c r="L44" s="298">
        <v>1600.3289062199999</v>
      </c>
      <c r="M44" s="298">
        <v>1814.78124211</v>
      </c>
      <c r="N44" s="298">
        <v>1936.9237881500001</v>
      </c>
      <c r="O44" s="306">
        <v>2242.9035233999998</v>
      </c>
      <c r="P44" s="306" cm="1">
        <f t="array" ref="P44">INDEX($E$2:$E$676, MATCH($B44, $B$2:$B$676, 0) * MATCH("Brazil", $A$2:$A$676, 0))</f>
        <v>23775.659263040001</v>
      </c>
      <c r="Q44" s="306">
        <f t="shared" si="1"/>
        <v>22482.72011844</v>
      </c>
      <c r="R44" s="336">
        <f>INDEX('Base GDP'!$A$1:$E$76,MATCH(A44,'Base GDP'!$A$1:$A$76,0),4)</f>
        <v>83456.391863790006</v>
      </c>
      <c r="S44" s="336">
        <f>INDEX('Base GDP'!$A$1:$E$76,MATCH(A44,'Base GDP'!$A$1:$A$76,0),5)</f>
        <v>87715.792114070005</v>
      </c>
      <c r="T44" s="335">
        <f t="shared" si="2"/>
        <v>1.4550267463658048E-2</v>
      </c>
      <c r="U44" s="335">
        <f t="shared" si="3"/>
        <v>1.5426783664682258E-2</v>
      </c>
      <c r="V44" s="335">
        <f t="shared" si="4"/>
        <v>8.7651620102421023E-4</v>
      </c>
    </row>
    <row r="45" spans="1:22" x14ac:dyDescent="0.45">
      <c r="A45" s="293" t="s">
        <v>154</v>
      </c>
      <c r="B45" s="297" t="s">
        <v>3</v>
      </c>
      <c r="C45" s="293" t="str">
        <f t="shared" si="0"/>
        <v>PakistanManufacture of basic metals (C24)</v>
      </c>
      <c r="D45" s="297" t="s">
        <v>958</v>
      </c>
      <c r="E45" s="298">
        <v>735.54734510000003</v>
      </c>
      <c r="F45" s="298">
        <v>1300.11530019</v>
      </c>
      <c r="G45" s="302">
        <v>0.76754808354755877</v>
      </c>
      <c r="H45" s="303">
        <v>23040.111917940001</v>
      </c>
      <c r="I45" s="298">
        <v>938.48350577999997</v>
      </c>
      <c r="J45" s="298">
        <v>1300.11530019</v>
      </c>
      <c r="K45" s="302">
        <v>0.3853363348239538</v>
      </c>
      <c r="L45" s="298">
        <v>1591.7277087299999</v>
      </c>
      <c r="M45" s="298">
        <v>1969.46691498</v>
      </c>
      <c r="N45" s="298">
        <v>2268.81906828</v>
      </c>
      <c r="O45" s="306">
        <v>3123.3033452</v>
      </c>
      <c r="P45" s="306" cm="1">
        <f t="array" ref="P45">INDEX($E$2:$E$676, MATCH($B45, $B$2:$B$676, 0) * MATCH("Brazil", $A$2:$A$676, 0))</f>
        <v>23775.659263040001</v>
      </c>
      <c r="Q45" s="306">
        <f t="shared" si="1"/>
        <v>23040.111917940001</v>
      </c>
      <c r="R45" s="336">
        <f>INDEX('Base GDP'!$A$1:$E$76,MATCH(A45,'Base GDP'!$A$1:$A$76,0),4)</f>
        <v>243681.57424943999</v>
      </c>
      <c r="S45" s="336">
        <f>INDEX('Base GDP'!$A$1:$E$76,MATCH(A45,'Base GDP'!$A$1:$A$76,0),5)</f>
        <v>307178.14587732003</v>
      </c>
      <c r="T45" s="335">
        <f t="shared" si="2"/>
        <v>3.8512698740994643E-3</v>
      </c>
      <c r="U45" s="335">
        <f t="shared" si="3"/>
        <v>4.2324472545948516E-3</v>
      </c>
      <c r="V45" s="335">
        <f t="shared" si="4"/>
        <v>3.8117738049538727E-4</v>
      </c>
    </row>
    <row r="46" spans="1:22" x14ac:dyDescent="0.45">
      <c r="A46" s="293" t="s">
        <v>155</v>
      </c>
      <c r="B46" s="297" t="s">
        <v>3</v>
      </c>
      <c r="C46" s="293" t="str">
        <f t="shared" si="0"/>
        <v>QatarManufacture of basic metals (C24)</v>
      </c>
      <c r="D46" s="297" t="s">
        <v>958</v>
      </c>
      <c r="E46" s="298">
        <v>754.15658647999999</v>
      </c>
      <c r="F46" s="298">
        <v>1242.2082725099999</v>
      </c>
      <c r="G46" s="302">
        <v>0.64714900695618716</v>
      </c>
      <c r="H46" s="303">
        <v>23021.502676560001</v>
      </c>
      <c r="I46" s="298">
        <v>1015.0040406099999</v>
      </c>
      <c r="J46" s="298">
        <v>1242.2082725099999</v>
      </c>
      <c r="K46" s="302">
        <v>0.22384564278527819</v>
      </c>
      <c r="L46" s="298">
        <v>1278.8798683299999</v>
      </c>
      <c r="M46" s="298">
        <v>1455.31246732</v>
      </c>
      <c r="N46" s="298">
        <v>1541.3678094899999</v>
      </c>
      <c r="O46" s="306">
        <v>1709.09444031</v>
      </c>
      <c r="P46" s="306" cm="1">
        <f t="array" ref="P46">INDEX($E$2:$E$676, MATCH($B46, $B$2:$B$676, 0) * MATCH("Brazil", $A$2:$A$676, 0))</f>
        <v>23775.659263040001</v>
      </c>
      <c r="Q46" s="306">
        <f t="shared" si="1"/>
        <v>23021.502676560001</v>
      </c>
      <c r="R46" s="336">
        <f>INDEX('Base GDP'!$A$1:$E$76,MATCH(A46,'Base GDP'!$A$1:$A$76,0),4)</f>
        <v>170576.82347613</v>
      </c>
      <c r="S46" s="336">
        <f>INDEX('Base GDP'!$A$1:$E$76,MATCH(A46,'Base GDP'!$A$1:$A$76,0),5)</f>
        <v>172715.39534024999</v>
      </c>
      <c r="T46" s="335">
        <f t="shared" si="2"/>
        <v>5.9504217508894843E-3</v>
      </c>
      <c r="U46" s="335">
        <f t="shared" si="3"/>
        <v>7.1922266689824895E-3</v>
      </c>
      <c r="V46" s="335">
        <f t="shared" si="4"/>
        <v>1.2418049180930053E-3</v>
      </c>
    </row>
    <row r="47" spans="1:22" x14ac:dyDescent="0.45">
      <c r="A47" s="293" t="s">
        <v>156</v>
      </c>
      <c r="B47" s="297" t="s">
        <v>3</v>
      </c>
      <c r="C47" s="293" t="str">
        <f t="shared" si="0"/>
        <v>GreeceManufacture of basic metals (C24)</v>
      </c>
      <c r="D47" s="297" t="s">
        <v>958</v>
      </c>
      <c r="E47" s="298">
        <v>1543.83392506</v>
      </c>
      <c r="F47" s="298">
        <v>1117.18560697</v>
      </c>
      <c r="G47" s="302">
        <v>-0.27635635618864807</v>
      </c>
      <c r="H47" s="303">
        <v>22231.825337980001</v>
      </c>
      <c r="I47" s="298">
        <v>1089.0535045399999</v>
      </c>
      <c r="J47" s="298">
        <v>1117.18560697</v>
      </c>
      <c r="K47" s="302">
        <v>2.5831699097173866E-2</v>
      </c>
      <c r="L47" s="298">
        <v>1123.3500598099999</v>
      </c>
      <c r="M47" s="298">
        <v>1139.5413564800001</v>
      </c>
      <c r="N47" s="298">
        <v>1143.4492648400001</v>
      </c>
      <c r="O47" s="306">
        <v>1148.0125202700001</v>
      </c>
      <c r="P47" s="306" cm="1">
        <f t="array" ref="P47">INDEX($E$2:$E$676, MATCH($B47, $B$2:$B$676, 0) * MATCH("Brazil", $A$2:$A$676, 0))</f>
        <v>23775.659263040001</v>
      </c>
      <c r="Q47" s="306">
        <f t="shared" si="1"/>
        <v>22231.825337980001</v>
      </c>
      <c r="R47" s="336">
        <f>INDEX('Base GDP'!$A$1:$E$76,MATCH(A47,'Base GDP'!$A$1:$A$76,0),4)</f>
        <v>196841.83448053</v>
      </c>
      <c r="S47" s="336">
        <f>INDEX('Base GDP'!$A$1:$E$76,MATCH(A47,'Base GDP'!$A$1:$A$76,0),5)</f>
        <v>201121.93838619001</v>
      </c>
      <c r="T47" s="335">
        <f t="shared" si="2"/>
        <v>5.5326323665598649E-3</v>
      </c>
      <c r="U47" s="335">
        <f t="shared" si="3"/>
        <v>5.5547675004245642E-3</v>
      </c>
      <c r="V47" s="335">
        <f t="shared" si="4"/>
        <v>2.2135133864699223E-5</v>
      </c>
    </row>
    <row r="48" spans="1:22" x14ac:dyDescent="0.45">
      <c r="A48" s="293" t="s">
        <v>157</v>
      </c>
      <c r="B48" s="297" t="s">
        <v>3</v>
      </c>
      <c r="C48" s="293" t="str">
        <f t="shared" si="0"/>
        <v>SlovakiaManufacture of basic metals (C24)</v>
      </c>
      <c r="D48" s="297" t="s">
        <v>958</v>
      </c>
      <c r="E48" s="298">
        <v>580.32340292000004</v>
      </c>
      <c r="F48" s="298">
        <v>880.19426436000003</v>
      </c>
      <c r="G48" s="302">
        <v>0.51673060216277111</v>
      </c>
      <c r="H48" s="303">
        <v>23195.335860120002</v>
      </c>
      <c r="I48" s="298">
        <v>750.36726923000003</v>
      </c>
      <c r="J48" s="298">
        <v>880.19426436000003</v>
      </c>
      <c r="K48" s="302">
        <v>0.17301793462183368</v>
      </c>
      <c r="L48" s="298">
        <v>1056.7595145400001</v>
      </c>
      <c r="M48" s="298">
        <v>1184.9694204299999</v>
      </c>
      <c r="N48" s="298">
        <v>1270.8505159199999</v>
      </c>
      <c r="O48" s="306">
        <v>1526.8751941600001</v>
      </c>
      <c r="P48" s="306" cm="1">
        <f t="array" ref="P48">INDEX($E$2:$E$676, MATCH($B48, $B$2:$B$676, 0) * MATCH("Brazil", $A$2:$A$676, 0))</f>
        <v>23775.659263040001</v>
      </c>
      <c r="Q48" s="306">
        <f t="shared" si="1"/>
        <v>23195.335860120002</v>
      </c>
      <c r="R48" s="336">
        <f>INDEX('Base GDP'!$A$1:$E$76,MATCH(A48,'Base GDP'!$A$1:$A$76,0),4)</f>
        <v>94460.171576160006</v>
      </c>
      <c r="S48" s="336">
        <f>INDEX('Base GDP'!$A$1:$E$76,MATCH(A48,'Base GDP'!$A$1:$A$76,0),5)</f>
        <v>107076.6714533</v>
      </c>
      <c r="T48" s="335">
        <f t="shared" si="2"/>
        <v>7.9437423912045776E-3</v>
      </c>
      <c r="U48" s="335">
        <f t="shared" si="3"/>
        <v>8.2202243720648754E-3</v>
      </c>
      <c r="V48" s="335">
        <f t="shared" si="4"/>
        <v>2.7648198086029779E-4</v>
      </c>
    </row>
    <row r="49" spans="1:22" x14ac:dyDescent="0.45">
      <c r="A49" s="293" t="s">
        <v>158</v>
      </c>
      <c r="B49" s="297" t="s">
        <v>3</v>
      </c>
      <c r="C49" s="293" t="str">
        <f t="shared" si="0"/>
        <v>GhanaManufacture of basic metals (C24)</v>
      </c>
      <c r="D49" s="297" t="s">
        <v>958</v>
      </c>
      <c r="E49" s="298">
        <v>558.17421301000002</v>
      </c>
      <c r="F49" s="298">
        <v>847.49723302999996</v>
      </c>
      <c r="G49" s="302">
        <v>0.51833820566486222</v>
      </c>
      <c r="H49" s="303">
        <v>23217.485050030002</v>
      </c>
      <c r="I49" s="298">
        <v>727.00671672999999</v>
      </c>
      <c r="J49" s="298">
        <v>847.49723302999996</v>
      </c>
      <c r="K49" s="302">
        <v>0.16573507992051795</v>
      </c>
      <c r="L49" s="298">
        <v>929.37287198000001</v>
      </c>
      <c r="M49" s="298">
        <v>1033.5981878499999</v>
      </c>
      <c r="N49" s="298">
        <v>1118.8223651999999</v>
      </c>
      <c r="O49" s="306">
        <v>1350.65830749</v>
      </c>
      <c r="P49" s="306" cm="1">
        <f t="array" ref="P49">INDEX($E$2:$E$676, MATCH($B49, $B$2:$B$676, 0) * MATCH("Brazil", $A$2:$A$676, 0))</f>
        <v>23775.659263040001</v>
      </c>
      <c r="Q49" s="306">
        <f t="shared" si="1"/>
        <v>23217.485050030002</v>
      </c>
      <c r="R49" s="336">
        <f>INDEX('Base GDP'!$A$1:$E$76,MATCH(A49,'Base GDP'!$A$1:$A$76,0),4)</f>
        <v>54050.698328470004</v>
      </c>
      <c r="S49" s="336">
        <f>INDEX('Base GDP'!$A$1:$E$76,MATCH(A49,'Base GDP'!$A$1:$A$76,0),5)</f>
        <v>72367.878986030002</v>
      </c>
      <c r="T49" s="335">
        <f t="shared" si="2"/>
        <v>1.3450459276435756E-2</v>
      </c>
      <c r="U49" s="335">
        <f t="shared" si="3"/>
        <v>1.1710958575884226E-2</v>
      </c>
      <c r="V49" s="335">
        <f t="shared" si="4"/>
        <v>-1.7395007005515297E-3</v>
      </c>
    </row>
    <row r="50" spans="1:22" x14ac:dyDescent="0.45">
      <c r="A50" s="293" t="s">
        <v>113</v>
      </c>
      <c r="B50" s="297" t="s">
        <v>3</v>
      </c>
      <c r="C50" s="293" t="str">
        <f t="shared" si="0"/>
        <v>HungaryManufacture of basic metals (C24)</v>
      </c>
      <c r="D50" s="297" t="s">
        <v>958</v>
      </c>
      <c r="E50" s="298">
        <v>654.97464175000005</v>
      </c>
      <c r="F50" s="298">
        <v>756.79094486999998</v>
      </c>
      <c r="G50" s="302">
        <v>0.15545075584599899</v>
      </c>
      <c r="H50" s="303">
        <v>23120.684621290002</v>
      </c>
      <c r="I50" s="298">
        <v>705.11672498999997</v>
      </c>
      <c r="J50" s="298">
        <v>756.79094486999998</v>
      </c>
      <c r="K50" s="302">
        <v>7.3284632244020154E-2</v>
      </c>
      <c r="L50" s="298">
        <v>495.29010060000002</v>
      </c>
      <c r="M50" s="298">
        <v>523.51439731999994</v>
      </c>
      <c r="N50" s="298">
        <v>541.88045394999995</v>
      </c>
      <c r="O50" s="306">
        <v>586.33099259000005</v>
      </c>
      <c r="P50" s="306" cm="1">
        <f t="array" ref="P50">INDEX($E$2:$E$676, MATCH($B50, $B$2:$B$676, 0) * MATCH("Brazil", $A$2:$A$676, 0))</f>
        <v>23775.659263040001</v>
      </c>
      <c r="Q50" s="306">
        <f t="shared" si="1"/>
        <v>23120.684621290002</v>
      </c>
      <c r="R50" s="336">
        <f>INDEX('Base GDP'!$A$1:$E$76,MATCH(A50,'Base GDP'!$A$1:$A$76,0),4)</f>
        <v>139098.07965294999</v>
      </c>
      <c r="S50" s="336">
        <f>INDEX('Base GDP'!$A$1:$E$76,MATCH(A50,'Base GDP'!$A$1:$A$76,0),5)</f>
        <v>167320.49519441</v>
      </c>
      <c r="T50" s="335">
        <f t="shared" si="2"/>
        <v>5.0692053172068782E-3</v>
      </c>
      <c r="U50" s="335">
        <f t="shared" si="3"/>
        <v>4.5230020625428051E-3</v>
      </c>
      <c r="V50" s="335">
        <f t="shared" si="4"/>
        <v>-5.4620325466407313E-4</v>
      </c>
    </row>
    <row r="51" spans="1:22" x14ac:dyDescent="0.45">
      <c r="A51" s="293" t="s">
        <v>127</v>
      </c>
      <c r="B51" s="297" t="s">
        <v>3</v>
      </c>
      <c r="C51" s="293" t="str">
        <f t="shared" si="0"/>
        <v>IrelandManufacture of basic metals (C24)</v>
      </c>
      <c r="D51" s="297" t="s">
        <v>958</v>
      </c>
      <c r="E51" s="298">
        <v>220.98536041</v>
      </c>
      <c r="F51" s="298">
        <v>721.65800865000006</v>
      </c>
      <c r="G51" s="302">
        <v>2.2656371775537023</v>
      </c>
      <c r="H51" s="303">
        <v>23554.673902630002</v>
      </c>
      <c r="I51" s="298">
        <v>362.20433308999998</v>
      </c>
      <c r="J51" s="298">
        <v>721.65800865000006</v>
      </c>
      <c r="K51" s="302">
        <v>0.99240578513643452</v>
      </c>
      <c r="L51" s="298">
        <v>1155.58305849</v>
      </c>
      <c r="M51" s="298">
        <v>1241.1974141400001</v>
      </c>
      <c r="N51" s="298">
        <v>1291.95413592</v>
      </c>
      <c r="O51" s="306">
        <v>1420.3628315200001</v>
      </c>
      <c r="P51" s="306" cm="1">
        <f t="array" ref="P51">INDEX($E$2:$E$676, MATCH($B51, $B$2:$B$676, 0) * MATCH("Brazil", $A$2:$A$676, 0))</f>
        <v>23775.659263040001</v>
      </c>
      <c r="Q51" s="306">
        <f t="shared" si="1"/>
        <v>23554.673902630002</v>
      </c>
      <c r="R51" s="336">
        <f>INDEX('Base GDP'!$A$1:$E$76,MATCH(A51,'Base GDP'!$A$1:$A$76,0),4)</f>
        <v>308812.05776281998</v>
      </c>
      <c r="S51" s="336">
        <f>INDEX('Base GDP'!$A$1:$E$76,MATCH(A51,'Base GDP'!$A$1:$A$76,0),5)</f>
        <v>483748.84960921999</v>
      </c>
      <c r="T51" s="335">
        <f t="shared" si="2"/>
        <v>1.1728956949219496E-3</v>
      </c>
      <c r="U51" s="335">
        <f t="shared" si="3"/>
        <v>1.4918030486955512E-3</v>
      </c>
      <c r="V51" s="335">
        <f t="shared" si="4"/>
        <v>3.1890735377360156E-4</v>
      </c>
    </row>
    <row r="52" spans="1:22" x14ac:dyDescent="0.45">
      <c r="A52" s="293" t="s">
        <v>123</v>
      </c>
      <c r="B52" s="297" t="s">
        <v>3</v>
      </c>
      <c r="C52" s="293" t="str">
        <f t="shared" si="0"/>
        <v>IsraelManufacture of basic metals (C24)</v>
      </c>
      <c r="D52" s="297" t="s">
        <v>958</v>
      </c>
      <c r="E52" s="298">
        <v>570.16226427000004</v>
      </c>
      <c r="F52" s="298">
        <v>602.80464247999998</v>
      </c>
      <c r="G52" s="302">
        <v>5.7251032303572646E-2</v>
      </c>
      <c r="H52" s="303">
        <v>23205.496998770002</v>
      </c>
      <c r="I52" s="298">
        <v>569.72172891000002</v>
      </c>
      <c r="J52" s="298">
        <v>602.80464247999998</v>
      </c>
      <c r="K52" s="302">
        <v>5.8068548014299282E-2</v>
      </c>
      <c r="L52" s="298">
        <v>638.19283378</v>
      </c>
      <c r="M52" s="298">
        <v>681.71163302000002</v>
      </c>
      <c r="N52" s="298">
        <v>717.06409226000005</v>
      </c>
      <c r="O52" s="306">
        <v>808.77634521000004</v>
      </c>
      <c r="P52" s="306" cm="1">
        <f t="array" ref="P52">INDEX($E$2:$E$676, MATCH($B52, $B$2:$B$676, 0) * MATCH("Brazil", $A$2:$A$676, 0))</f>
        <v>23775.659263040001</v>
      </c>
      <c r="Q52" s="306">
        <f t="shared" si="1"/>
        <v>23205.496998770002</v>
      </c>
      <c r="R52" s="336">
        <f>INDEX('Base GDP'!$A$1:$E$76,MATCH(A52,'Base GDP'!$A$1:$A$76,0),4)</f>
        <v>339252.33917334001</v>
      </c>
      <c r="S52" s="336">
        <f>INDEX('Base GDP'!$A$1:$E$76,MATCH(A52,'Base GDP'!$A$1:$A$76,0),5)</f>
        <v>430314.68651226</v>
      </c>
      <c r="T52" s="335">
        <f t="shared" si="2"/>
        <v>1.6793450276518281E-3</v>
      </c>
      <c r="U52" s="335">
        <f t="shared" si="3"/>
        <v>1.4008460816566288E-3</v>
      </c>
      <c r="V52" s="335">
        <f t="shared" si="4"/>
        <v>-2.7849894599519935E-4</v>
      </c>
    </row>
    <row r="53" spans="1:22" x14ac:dyDescent="0.45">
      <c r="A53" s="293" t="s">
        <v>159</v>
      </c>
      <c r="B53" s="297" t="s">
        <v>3</v>
      </c>
      <c r="C53" s="293" t="str">
        <f t="shared" si="0"/>
        <v>KuwaitManufacture of basic metals (C24)</v>
      </c>
      <c r="D53" s="297" t="s">
        <v>958</v>
      </c>
      <c r="E53" s="298">
        <v>457.38847020999998</v>
      </c>
      <c r="F53" s="298">
        <v>591.52334111000005</v>
      </c>
      <c r="G53" s="302">
        <v>0.29326246645092513</v>
      </c>
      <c r="H53" s="303">
        <v>23318.270792830001</v>
      </c>
      <c r="I53" s="298">
        <v>711.54558026999996</v>
      </c>
      <c r="J53" s="298">
        <v>591.52334111000005</v>
      </c>
      <c r="K53" s="302">
        <v>-0.16867821610873723</v>
      </c>
      <c r="L53" s="298">
        <v>718.65215087000001</v>
      </c>
      <c r="M53" s="298">
        <v>792.29067605</v>
      </c>
      <c r="N53" s="298">
        <v>829.30787542999997</v>
      </c>
      <c r="O53" s="306">
        <v>926.52422306000005</v>
      </c>
      <c r="P53" s="306" cm="1">
        <f t="array" ref="P53">INDEX($E$2:$E$676, MATCH($B53, $B$2:$B$676, 0) * MATCH("Brazil", $A$2:$A$676, 0))</f>
        <v>23775.659263040001</v>
      </c>
      <c r="Q53" s="306">
        <f t="shared" si="1"/>
        <v>23318.270792830001</v>
      </c>
      <c r="R53" s="336">
        <f>INDEX('Base GDP'!$A$1:$E$76,MATCH(A53,'Base GDP'!$A$1:$A$76,0),4)</f>
        <v>136318.13330372999</v>
      </c>
      <c r="S53" s="336">
        <f>INDEX('Base GDP'!$A$1:$E$76,MATCH(A53,'Base GDP'!$A$1:$A$76,0),5)</f>
        <v>128320.86664452001</v>
      </c>
      <c r="T53" s="335">
        <f t="shared" si="2"/>
        <v>5.2197426932527576E-3</v>
      </c>
      <c r="U53" s="335">
        <f t="shared" si="3"/>
        <v>4.6097205900943877E-3</v>
      </c>
      <c r="V53" s="335">
        <f t="shared" si="4"/>
        <v>-6.1002210315836986E-4</v>
      </c>
    </row>
    <row r="54" spans="1:22" x14ac:dyDescent="0.45">
      <c r="A54" s="293" t="s">
        <v>160</v>
      </c>
      <c r="B54" s="297" t="s">
        <v>3</v>
      </c>
      <c r="C54" s="293" t="str">
        <f t="shared" si="0"/>
        <v>BulgariaManufacture of basic metals (C24)</v>
      </c>
      <c r="D54" s="297" t="s">
        <v>958</v>
      </c>
      <c r="E54" s="298">
        <v>362.60836861000001</v>
      </c>
      <c r="F54" s="298">
        <v>588.13410255999997</v>
      </c>
      <c r="G54" s="302">
        <v>0.621954023881236</v>
      </c>
      <c r="H54" s="303">
        <v>23413.050894430002</v>
      </c>
      <c r="I54" s="298">
        <v>631.21133111999995</v>
      </c>
      <c r="J54" s="298">
        <v>588.13410255999997</v>
      </c>
      <c r="K54" s="302">
        <v>-6.8245334702032645E-2</v>
      </c>
      <c r="L54" s="298">
        <v>582.66209375000005</v>
      </c>
      <c r="M54" s="298">
        <v>698.63546439000004</v>
      </c>
      <c r="N54" s="298">
        <v>780.93286969999997</v>
      </c>
      <c r="O54" s="306">
        <v>992.25029428000005</v>
      </c>
      <c r="P54" s="306" cm="1">
        <f t="array" ref="P54">INDEX($E$2:$E$676, MATCH($B54, $B$2:$B$676, 0) * MATCH("Brazil", $A$2:$A$676, 0))</f>
        <v>23775.659263040001</v>
      </c>
      <c r="Q54" s="306">
        <f t="shared" si="1"/>
        <v>23413.050894430002</v>
      </c>
      <c r="R54" s="336">
        <f>INDEX('Base GDP'!$A$1:$E$76,MATCH(A54,'Base GDP'!$A$1:$A$76,0),4)</f>
        <v>60854.013563</v>
      </c>
      <c r="S54" s="336">
        <f>INDEX('Base GDP'!$A$1:$E$76,MATCH(A54,'Base GDP'!$A$1:$A$76,0),5)</f>
        <v>70836.911882080007</v>
      </c>
      <c r="T54" s="335">
        <f t="shared" si="2"/>
        <v>1.0372550537961302E-2</v>
      </c>
      <c r="U54" s="335">
        <f t="shared" si="3"/>
        <v>8.302650227596714E-3</v>
      </c>
      <c r="V54" s="335">
        <f t="shared" si="4"/>
        <v>-2.0699003103645877E-3</v>
      </c>
    </row>
    <row r="55" spans="1:22" x14ac:dyDescent="0.45">
      <c r="A55" s="293" t="s">
        <v>161</v>
      </c>
      <c r="B55" s="297" t="s">
        <v>3</v>
      </c>
      <c r="C55" s="293" t="str">
        <f t="shared" si="0"/>
        <v>PortugalManufacture of basic metals (C24)</v>
      </c>
      <c r="D55" s="297" t="s">
        <v>958</v>
      </c>
      <c r="E55" s="298">
        <v>413.57756318000003</v>
      </c>
      <c r="F55" s="298">
        <v>578.29132509999999</v>
      </c>
      <c r="G55" s="302">
        <v>0.39826571019354873</v>
      </c>
      <c r="H55" s="303">
        <v>23362.081699860002</v>
      </c>
      <c r="I55" s="298">
        <v>415.05242141999997</v>
      </c>
      <c r="J55" s="298">
        <v>578.29132509999999</v>
      </c>
      <c r="K55" s="302">
        <v>0.39329707587662832</v>
      </c>
      <c r="L55" s="298">
        <v>554.26501280000002</v>
      </c>
      <c r="M55" s="298">
        <v>570.34165068000004</v>
      </c>
      <c r="N55" s="298">
        <v>585.46860776000005</v>
      </c>
      <c r="O55" s="306">
        <v>610.32438553999998</v>
      </c>
      <c r="P55" s="306" cm="1">
        <f t="array" ref="P55">INDEX($E$2:$E$676, MATCH($B55, $B$2:$B$676, 0) * MATCH("Brazil", $A$2:$A$676, 0))</f>
        <v>23775.659263040001</v>
      </c>
      <c r="Q55" s="306">
        <f t="shared" si="1"/>
        <v>23362.081699860002</v>
      </c>
      <c r="R55" s="336">
        <f>INDEX('Base GDP'!$A$1:$E$76,MATCH(A55,'Base GDP'!$A$1:$A$76,0),4)</f>
        <v>215192.52938671</v>
      </c>
      <c r="S55" s="336">
        <f>INDEX('Base GDP'!$A$1:$E$76,MATCH(A55,'Base GDP'!$A$1:$A$76,0),5)</f>
        <v>232686.90641277001</v>
      </c>
      <c r="T55" s="335">
        <f t="shared" si="2"/>
        <v>1.9287492117076861E-3</v>
      </c>
      <c r="U55" s="335">
        <f t="shared" si="3"/>
        <v>2.4852766063001084E-3</v>
      </c>
      <c r="V55" s="335">
        <f t="shared" si="4"/>
        <v>5.5652739459242234E-4</v>
      </c>
    </row>
    <row r="56" spans="1:22" x14ac:dyDescent="0.45">
      <c r="A56" s="293" t="s">
        <v>162</v>
      </c>
      <c r="B56" s="297" t="s">
        <v>3</v>
      </c>
      <c r="C56" s="293" t="str">
        <f t="shared" si="0"/>
        <v>RomaniaManufacture of basic metals (C24)</v>
      </c>
      <c r="D56" s="297" t="s">
        <v>958</v>
      </c>
      <c r="E56" s="298">
        <v>502.54437808</v>
      </c>
      <c r="F56" s="298">
        <v>564.66021771999999</v>
      </c>
      <c r="G56" s="302">
        <v>0.12360269530288481</v>
      </c>
      <c r="H56" s="303">
        <v>23273.114884959999</v>
      </c>
      <c r="I56" s="298">
        <v>523.94852416000003</v>
      </c>
      <c r="J56" s="298">
        <v>564.66021771999999</v>
      </c>
      <c r="K56" s="302">
        <v>7.7701704810161143E-2</v>
      </c>
      <c r="L56" s="298">
        <v>527.56522594</v>
      </c>
      <c r="M56" s="298">
        <v>611.65464671999996</v>
      </c>
      <c r="N56" s="298">
        <v>674.50768527000002</v>
      </c>
      <c r="O56" s="306">
        <v>810.86963925999999</v>
      </c>
      <c r="P56" s="306" cm="1">
        <f t="array" ref="P56">INDEX($E$2:$E$676, MATCH($B56, $B$2:$B$676, 0) * MATCH("Brazil", $A$2:$A$676, 0))</f>
        <v>23775.659263040001</v>
      </c>
      <c r="Q56" s="306">
        <f t="shared" si="1"/>
        <v>23273.114884959999</v>
      </c>
      <c r="R56" s="336">
        <f>INDEX('Base GDP'!$A$1:$E$76,MATCH(A56,'Base GDP'!$A$1:$A$76,0),4)</f>
        <v>204518.17392167001</v>
      </c>
      <c r="S56" s="336">
        <f>INDEX('Base GDP'!$A$1:$E$76,MATCH(A56,'Base GDP'!$A$1:$A$76,0),5)</f>
        <v>254974.25152873</v>
      </c>
      <c r="T56" s="335">
        <f t="shared" si="2"/>
        <v>2.5618677993901467E-3</v>
      </c>
      <c r="U56" s="335">
        <f t="shared" si="3"/>
        <v>2.2145774105993411E-3</v>
      </c>
      <c r="V56" s="335">
        <f t="shared" si="4"/>
        <v>-3.4729038879080564E-4</v>
      </c>
    </row>
    <row r="57" spans="1:22" x14ac:dyDescent="0.45">
      <c r="A57" s="293" t="s">
        <v>163</v>
      </c>
      <c r="B57" s="297" t="s">
        <v>3</v>
      </c>
      <c r="C57" s="293" t="str">
        <f t="shared" si="0"/>
        <v>New ZealandManufacture of basic metals (C24)</v>
      </c>
      <c r="D57" s="297" t="s">
        <v>958</v>
      </c>
      <c r="E57" s="298">
        <v>536.85609351999994</v>
      </c>
      <c r="F57" s="298">
        <v>546.39790676999996</v>
      </c>
      <c r="G57" s="302">
        <v>1.7773502741558422E-2</v>
      </c>
      <c r="H57" s="303">
        <v>23238.803169520001</v>
      </c>
      <c r="I57" s="298">
        <v>537.03984244000003</v>
      </c>
      <c r="J57" s="298">
        <v>546.39790676999996</v>
      </c>
      <c r="K57" s="302">
        <v>1.7425270139143301E-2</v>
      </c>
      <c r="L57" s="298">
        <v>502.50615680999999</v>
      </c>
      <c r="M57" s="298">
        <v>524.75478740999995</v>
      </c>
      <c r="N57" s="298">
        <v>541.36605755000005</v>
      </c>
      <c r="O57" s="306">
        <v>577.88422863000005</v>
      </c>
      <c r="P57" s="306" cm="1">
        <f t="array" ref="P57">INDEX($E$2:$E$676, MATCH($B57, $B$2:$B$676, 0) * MATCH("Brazil", $A$2:$A$676, 0))</f>
        <v>23775.659263040001</v>
      </c>
      <c r="Q57" s="306">
        <f t="shared" si="1"/>
        <v>23238.803169520001</v>
      </c>
      <c r="R57" s="336">
        <f>INDEX('Base GDP'!$A$1:$E$76,MATCH(A57,'Base GDP'!$A$1:$A$76,0),4)</f>
        <v>180884.85070677</v>
      </c>
      <c r="S57" s="336">
        <f>INDEX('Base GDP'!$A$1:$E$76,MATCH(A57,'Base GDP'!$A$1:$A$76,0),5)</f>
        <v>220909.49174857</v>
      </c>
      <c r="T57" s="335">
        <f t="shared" si="2"/>
        <v>2.9689597572247115E-3</v>
      </c>
      <c r="U57" s="335">
        <f t="shared" si="3"/>
        <v>2.4734016743467382E-3</v>
      </c>
      <c r="V57" s="335">
        <f t="shared" si="4"/>
        <v>-4.9555808287797326E-4</v>
      </c>
    </row>
    <row r="58" spans="1:22" x14ac:dyDescent="0.45">
      <c r="A58" s="293" t="s">
        <v>116</v>
      </c>
      <c r="B58" s="297" t="s">
        <v>3</v>
      </c>
      <c r="C58" s="293" t="str">
        <f t="shared" si="0"/>
        <v>DenmarkManufacture of basic metals (C24)</v>
      </c>
      <c r="D58" s="297" t="s">
        <v>958</v>
      </c>
      <c r="E58" s="298">
        <v>256.49703426000002</v>
      </c>
      <c r="F58" s="298">
        <v>506.75766972999998</v>
      </c>
      <c r="G58" s="302">
        <v>0.97568627330139623</v>
      </c>
      <c r="H58" s="303">
        <v>23519.162228780002</v>
      </c>
      <c r="I58" s="298">
        <v>431.89679833000002</v>
      </c>
      <c r="J58" s="298">
        <v>506.75766972999998</v>
      </c>
      <c r="K58" s="302">
        <v>0.17333046155808929</v>
      </c>
      <c r="L58" s="298">
        <v>503.17940719000001</v>
      </c>
      <c r="M58" s="298">
        <v>514.38119499000004</v>
      </c>
      <c r="N58" s="298">
        <v>521.02831035999998</v>
      </c>
      <c r="O58" s="306">
        <v>527.55331203000003</v>
      </c>
      <c r="P58" s="306" cm="1">
        <f t="array" ref="P58">INDEX($E$2:$E$676, MATCH($B58, $B$2:$B$676, 0) * MATCH("Brazil", $A$2:$A$676, 0))</f>
        <v>23775.659263040001</v>
      </c>
      <c r="Q58" s="306">
        <f t="shared" si="1"/>
        <v>23519.162228780002</v>
      </c>
      <c r="R58" s="336">
        <f>INDEX('Base GDP'!$A$1:$E$76,MATCH(A58,'Base GDP'!$A$1:$A$76,0),4)</f>
        <v>315318.76572541997</v>
      </c>
      <c r="S58" s="336">
        <f>INDEX('Base GDP'!$A$1:$E$76,MATCH(A58,'Base GDP'!$A$1:$A$76,0),5)</f>
        <v>361238.79673869</v>
      </c>
      <c r="T58" s="335">
        <f t="shared" si="2"/>
        <v>1.3697148577135317E-3</v>
      </c>
      <c r="U58" s="335">
        <f t="shared" si="3"/>
        <v>1.4028329025151034E-3</v>
      </c>
      <c r="V58" s="335">
        <f t="shared" si="4"/>
        <v>3.311804480157169E-5</v>
      </c>
    </row>
    <row r="59" spans="1:22" x14ac:dyDescent="0.45">
      <c r="A59" s="293" t="s">
        <v>164</v>
      </c>
      <c r="B59" s="297" t="s">
        <v>3</v>
      </c>
      <c r="C59" s="293" t="str">
        <f t="shared" si="0"/>
        <v>MoroccoManufacture of basic metals (C24)</v>
      </c>
      <c r="D59" s="297" t="s">
        <v>958</v>
      </c>
      <c r="E59" s="298">
        <v>507.75064724999999</v>
      </c>
      <c r="F59" s="298">
        <v>379.98763752000002</v>
      </c>
      <c r="G59" s="302">
        <v>-0.25162549850398042</v>
      </c>
      <c r="H59" s="303">
        <v>23267.908615790002</v>
      </c>
      <c r="I59" s="298">
        <v>417.70669991</v>
      </c>
      <c r="J59" s="298">
        <v>379.98763752000002</v>
      </c>
      <c r="K59" s="302">
        <v>-9.0300352850761101E-2</v>
      </c>
      <c r="L59" s="298">
        <v>480.78290876</v>
      </c>
      <c r="M59" s="298">
        <v>541.28563737000002</v>
      </c>
      <c r="N59" s="298">
        <v>578.94024129000002</v>
      </c>
      <c r="O59" s="306">
        <v>693.27959452000005</v>
      </c>
      <c r="P59" s="306" cm="1">
        <f t="array" ref="P59">INDEX($E$2:$E$676, MATCH($B59, $B$2:$B$676, 0) * MATCH("Brazil", $A$2:$A$676, 0))</f>
        <v>23775.659263040001</v>
      </c>
      <c r="Q59" s="306">
        <f t="shared" si="1"/>
        <v>23267.908615790002</v>
      </c>
      <c r="R59" s="336">
        <f>INDEX('Base GDP'!$A$1:$E$76,MATCH(A59,'Base GDP'!$A$1:$A$76,0),4)</f>
        <v>115608.87885166</v>
      </c>
      <c r="S59" s="336">
        <f>INDEX('Base GDP'!$A$1:$E$76,MATCH(A59,'Base GDP'!$A$1:$A$76,0),5)</f>
        <v>129710.11086108</v>
      </c>
      <c r="T59" s="335">
        <f t="shared" si="2"/>
        <v>3.6131022466359833E-3</v>
      </c>
      <c r="U59" s="335">
        <f t="shared" si="3"/>
        <v>2.9295143994362027E-3</v>
      </c>
      <c r="V59" s="335">
        <f t="shared" si="4"/>
        <v>-6.8358784719978064E-4</v>
      </c>
    </row>
    <row r="60" spans="1:22" x14ac:dyDescent="0.45">
      <c r="A60" s="293" t="s">
        <v>165</v>
      </c>
      <c r="B60" s="297" t="s">
        <v>3</v>
      </c>
      <c r="C60" s="293" t="str">
        <f t="shared" si="0"/>
        <v>EcuadorManufacture of basic metals (C24)</v>
      </c>
      <c r="D60" s="297" t="s">
        <v>958</v>
      </c>
      <c r="E60" s="298">
        <v>180.88195099999999</v>
      </c>
      <c r="F60" s="298">
        <v>321.30777390999998</v>
      </c>
      <c r="G60" s="302">
        <v>0.776339607869444</v>
      </c>
      <c r="H60" s="303">
        <v>23594.777312040002</v>
      </c>
      <c r="I60" s="298">
        <v>207.23255961000001</v>
      </c>
      <c r="J60" s="298">
        <v>321.30777390999998</v>
      </c>
      <c r="K60" s="302">
        <v>0.55046955224933325</v>
      </c>
      <c r="L60" s="298">
        <v>308.02997354000001</v>
      </c>
      <c r="M60" s="298">
        <v>359.81077525000001</v>
      </c>
      <c r="N60" s="298">
        <v>408.73873571000001</v>
      </c>
      <c r="O60" s="306">
        <v>547.12188090999996</v>
      </c>
      <c r="P60" s="306" cm="1">
        <f t="array" ref="P60">INDEX($E$2:$E$676, MATCH($B60, $B$2:$B$676, 0) * MATCH("Brazil", $A$2:$A$676, 0))</f>
        <v>23775.659263040001</v>
      </c>
      <c r="Q60" s="306">
        <f t="shared" si="1"/>
        <v>23594.777312040002</v>
      </c>
      <c r="R60" s="336">
        <f>INDEX('Base GDP'!$A$1:$E$76,MATCH(A60,'Base GDP'!$A$1:$A$76,0),4)</f>
        <v>105544.34131757999</v>
      </c>
      <c r="S60" s="336">
        <f>INDEX('Base GDP'!$A$1:$E$76,MATCH(A60,'Base GDP'!$A$1:$A$76,0),5)</f>
        <v>103911.06087433999</v>
      </c>
      <c r="T60" s="335">
        <f t="shared" si="2"/>
        <v>1.9634644266379284E-3</v>
      </c>
      <c r="U60" s="335">
        <f t="shared" si="3"/>
        <v>3.0921421762651292E-3</v>
      </c>
      <c r="V60" s="335">
        <f t="shared" si="4"/>
        <v>1.1286777496272008E-3</v>
      </c>
    </row>
    <row r="61" spans="1:22" x14ac:dyDescent="0.45">
      <c r="A61" s="293" t="s">
        <v>102</v>
      </c>
      <c r="B61" s="297" t="s">
        <v>3</v>
      </c>
      <c r="C61" s="293" t="str">
        <f t="shared" si="0"/>
        <v>NigeriaManufacture of basic metals (C24)</v>
      </c>
      <c r="D61" s="297" t="s">
        <v>958</v>
      </c>
      <c r="E61" s="298">
        <v>108.26523874</v>
      </c>
      <c r="F61" s="298">
        <v>246.65734191000001</v>
      </c>
      <c r="G61" s="302">
        <v>1.2782690435140496</v>
      </c>
      <c r="H61" s="303">
        <v>23667.3940243</v>
      </c>
      <c r="I61" s="298">
        <v>250.77113614000001</v>
      </c>
      <c r="J61" s="298">
        <v>246.65734191000001</v>
      </c>
      <c r="K61" s="302">
        <v>-1.6404576273496452E-2</v>
      </c>
      <c r="L61" s="298">
        <v>274.79426905000003</v>
      </c>
      <c r="M61" s="298">
        <v>310.47412252999999</v>
      </c>
      <c r="N61" s="298">
        <v>342.73755538</v>
      </c>
      <c r="O61" s="306">
        <v>420.18527984999997</v>
      </c>
      <c r="P61" s="306" cm="1">
        <f t="array" ref="P61">INDEX($E$2:$E$676, MATCH($B61, $B$2:$B$676, 0) * MATCH("Brazil", $A$2:$A$676, 0))</f>
        <v>23775.659263040001</v>
      </c>
      <c r="Q61" s="306">
        <f t="shared" si="1"/>
        <v>23667.3940243</v>
      </c>
      <c r="R61" s="336">
        <f>INDEX('Base GDP'!$A$1:$E$76,MATCH(A61,'Base GDP'!$A$1:$A$76,0),4)</f>
        <v>460034.71302222001</v>
      </c>
      <c r="S61" s="336">
        <f>INDEX('Base GDP'!$A$1:$E$76,MATCH(A61,'Base GDP'!$A$1:$A$76,0),5)</f>
        <v>483780.49839321</v>
      </c>
      <c r="T61" s="335">
        <f t="shared" si="2"/>
        <v>5.4511350783193521E-4</v>
      </c>
      <c r="U61" s="335">
        <f t="shared" si="3"/>
        <v>5.0985383397889755E-4</v>
      </c>
      <c r="V61" s="335">
        <f t="shared" si="4"/>
        <v>-3.5259673853037655E-5</v>
      </c>
    </row>
    <row r="62" spans="1:22" x14ac:dyDescent="0.45">
      <c r="A62" s="293" t="s">
        <v>121</v>
      </c>
      <c r="B62" s="297" t="s">
        <v>3</v>
      </c>
      <c r="C62" s="293" t="str">
        <f t="shared" si="0"/>
        <v>SingaporeManufacture of basic metals (C24)</v>
      </c>
      <c r="D62" s="297" t="s">
        <v>958</v>
      </c>
      <c r="E62" s="298">
        <v>141.14525352000001</v>
      </c>
      <c r="F62" s="298">
        <v>131.11643824999999</v>
      </c>
      <c r="G62" s="302">
        <v>-7.1053152832935784E-2</v>
      </c>
      <c r="H62" s="303">
        <v>23634.51400952</v>
      </c>
      <c r="I62" s="298">
        <v>125.80209451</v>
      </c>
      <c r="J62" s="298">
        <v>131.11643824999999</v>
      </c>
      <c r="K62" s="302">
        <v>4.2243682513390501E-2</v>
      </c>
      <c r="L62" s="298">
        <v>128.92381538999999</v>
      </c>
      <c r="M62" s="298">
        <v>140.49492577999999</v>
      </c>
      <c r="N62" s="298">
        <v>149.31776704000001</v>
      </c>
      <c r="O62" s="306">
        <v>167.85654360999999</v>
      </c>
      <c r="P62" s="306" cm="1">
        <f t="array" ref="P62">INDEX($E$2:$E$676, MATCH($B62, $B$2:$B$676, 0) * MATCH("Brazil", $A$2:$A$676, 0))</f>
        <v>23775.659263040001</v>
      </c>
      <c r="Q62" s="306">
        <f t="shared" si="1"/>
        <v>23634.51400952</v>
      </c>
      <c r="R62" s="336">
        <f>INDEX('Base GDP'!$A$1:$E$76,MATCH(A62,'Base GDP'!$A$1:$A$76,0),4)</f>
        <v>331298.98374970001</v>
      </c>
      <c r="S62" s="336">
        <f>INDEX('Base GDP'!$A$1:$E$76,MATCH(A62,'Base GDP'!$A$1:$A$76,0),5)</f>
        <v>394237.177708</v>
      </c>
      <c r="T62" s="335">
        <f t="shared" si="2"/>
        <v>3.7972375612550883E-4</v>
      </c>
      <c r="U62" s="335">
        <f t="shared" si="3"/>
        <v>3.325826321410867E-4</v>
      </c>
      <c r="V62" s="335">
        <f t="shared" si="4"/>
        <v>-4.7141123984422123E-5</v>
      </c>
    </row>
    <row r="63" spans="1:22" x14ac:dyDescent="0.45">
      <c r="A63" s="293" t="s">
        <v>166</v>
      </c>
      <c r="B63" s="297" t="s">
        <v>3</v>
      </c>
      <c r="C63" s="293" t="str">
        <f t="shared" si="0"/>
        <v>HondurasManufacture of basic metals (C24)</v>
      </c>
      <c r="D63" s="297" t="s">
        <v>958</v>
      </c>
      <c r="E63" s="298">
        <v>89.045110699999995</v>
      </c>
      <c r="F63" s="298">
        <v>120.37065887999999</v>
      </c>
      <c r="G63" s="302">
        <v>0.35179414045020674</v>
      </c>
      <c r="H63" s="303">
        <v>23686.61415234</v>
      </c>
      <c r="I63" s="298">
        <v>111.98521384999999</v>
      </c>
      <c r="J63" s="298">
        <v>120.37065887999999</v>
      </c>
      <c r="K63" s="302">
        <v>7.4879930498967351E-2</v>
      </c>
      <c r="L63" s="298">
        <v>135.52169513000001</v>
      </c>
      <c r="M63" s="298">
        <v>157.25173504</v>
      </c>
      <c r="N63" s="298">
        <v>175.41940055000001</v>
      </c>
      <c r="O63" s="306">
        <v>225.12661423</v>
      </c>
      <c r="P63" s="306" cm="1">
        <f t="array" ref="P63">INDEX($E$2:$E$676, MATCH($B63, $B$2:$B$676, 0) * MATCH("Brazil", $A$2:$A$676, 0))</f>
        <v>23775.659263040001</v>
      </c>
      <c r="Q63" s="306">
        <f t="shared" si="1"/>
        <v>23686.61415234</v>
      </c>
      <c r="R63" s="336">
        <f>INDEX('Base GDP'!$A$1:$E$76,MATCH(A63,'Base GDP'!$A$1:$A$76,0),4)</f>
        <v>21608.112082880001</v>
      </c>
      <c r="S63" s="336">
        <f>INDEX('Base GDP'!$A$1:$E$76,MATCH(A63,'Base GDP'!$A$1:$A$76,0),5)</f>
        <v>25703.55773198</v>
      </c>
      <c r="T63" s="335">
        <f t="shared" si="2"/>
        <v>5.1825542842646264E-3</v>
      </c>
      <c r="U63" s="335">
        <f t="shared" si="3"/>
        <v>4.6830349376201933E-3</v>
      </c>
      <c r="V63" s="335">
        <f t="shared" si="4"/>
        <v>-4.9951934664443313E-4</v>
      </c>
    </row>
    <row r="64" spans="1:22" x14ac:dyDescent="0.45">
      <c r="A64" s="293" t="s">
        <v>167</v>
      </c>
      <c r="B64" s="297" t="s">
        <v>3</v>
      </c>
      <c r="C64" s="293" t="str">
        <f t="shared" si="0"/>
        <v>Hong Kong SARManufacture of basic metals (C24)</v>
      </c>
      <c r="D64" s="297" t="s">
        <v>958</v>
      </c>
      <c r="E64" s="298">
        <v>121.62778067000001</v>
      </c>
      <c r="F64" s="298">
        <v>113.73380557</v>
      </c>
      <c r="G64" s="302">
        <v>-6.4902730745518666E-2</v>
      </c>
      <c r="H64" s="303">
        <v>23654.031482369999</v>
      </c>
      <c r="I64" s="298">
        <v>128.39517008999999</v>
      </c>
      <c r="J64" s="298">
        <v>113.73380557</v>
      </c>
      <c r="K64" s="302">
        <v>-0.11418937729295386</v>
      </c>
      <c r="L64" s="298">
        <v>171.25190516999999</v>
      </c>
      <c r="M64" s="298">
        <v>366.78221382999999</v>
      </c>
      <c r="N64" s="298">
        <v>499.34543208000002</v>
      </c>
      <c r="O64" s="306">
        <v>784.00262067999995</v>
      </c>
      <c r="P64" s="306" cm="1">
        <f t="array" ref="P64">INDEX($E$2:$E$676, MATCH($B64, $B$2:$B$676, 0) * MATCH("Brazil", $A$2:$A$676, 0))</f>
        <v>23775.659263040001</v>
      </c>
      <c r="Q64" s="306">
        <f t="shared" si="1"/>
        <v>23654.031482369999</v>
      </c>
      <c r="R64" s="336">
        <f>INDEX('Base GDP'!$A$1:$E$76,MATCH(A64,'Base GDP'!$A$1:$A$76,0),4)</f>
        <v>338559.97086627001</v>
      </c>
      <c r="S64" s="336">
        <f>INDEX('Base GDP'!$A$1:$E$76,MATCH(A64,'Base GDP'!$A$1:$A$76,0),5)</f>
        <v>361197.76240428002</v>
      </c>
      <c r="T64" s="335">
        <f t="shared" si="2"/>
        <v>3.7923907472426981E-4</v>
      </c>
      <c r="U64" s="335">
        <f t="shared" si="3"/>
        <v>3.1487959618836306E-4</v>
      </c>
      <c r="V64" s="335">
        <f t="shared" si="4"/>
        <v>-6.4359478535906754E-5</v>
      </c>
    </row>
    <row r="65" spans="1:22" x14ac:dyDescent="0.45">
      <c r="A65" s="293" t="s">
        <v>168</v>
      </c>
      <c r="B65" s="297" t="s">
        <v>3</v>
      </c>
      <c r="C65" s="293" t="str">
        <f t="shared" si="0"/>
        <v>TunisiaManufacture of basic metals (C24)</v>
      </c>
      <c r="D65" s="297" t="s">
        <v>958</v>
      </c>
      <c r="E65" s="298">
        <v>97.80092836</v>
      </c>
      <c r="F65" s="298">
        <v>98.971417419999995</v>
      </c>
      <c r="G65" s="302">
        <v>1.1968077191368609E-2</v>
      </c>
      <c r="H65" s="303">
        <v>23677.858334680001</v>
      </c>
      <c r="I65" s="298">
        <v>100.31795341</v>
      </c>
      <c r="J65" s="298">
        <v>98.971417419999995</v>
      </c>
      <c r="K65" s="302">
        <v>-1.3422682024788801E-2</v>
      </c>
      <c r="L65" s="298">
        <v>103.63886073</v>
      </c>
      <c r="M65" s="298">
        <v>110.95591706</v>
      </c>
      <c r="N65" s="298">
        <v>116.18271154</v>
      </c>
      <c r="O65" s="306">
        <v>129.43964613</v>
      </c>
      <c r="P65" s="306" cm="1">
        <f t="array" ref="P65">INDEX($E$2:$E$676, MATCH($B65, $B$2:$B$676, 0) * MATCH("Brazil", $A$2:$A$676, 0))</f>
        <v>23775.659263040001</v>
      </c>
      <c r="Q65" s="306">
        <f t="shared" si="1"/>
        <v>23677.858334680001</v>
      </c>
      <c r="R65" s="336">
        <f>INDEX('Base GDP'!$A$1:$E$76,MATCH(A65,'Base GDP'!$A$1:$A$76,0),4)</f>
        <v>38884.65391288</v>
      </c>
      <c r="S65" s="336">
        <f>INDEX('Base GDP'!$A$1:$E$76,MATCH(A65,'Base GDP'!$A$1:$A$76,0),5)</f>
        <v>40072.692608359997</v>
      </c>
      <c r="T65" s="335">
        <f t="shared" si="2"/>
        <v>2.5798854641926254E-3</v>
      </c>
      <c r="U65" s="335">
        <f t="shared" si="3"/>
        <v>2.4697970357837272E-3</v>
      </c>
      <c r="V65" s="335">
        <f t="shared" si="4"/>
        <v>-1.1008842840889814E-4</v>
      </c>
    </row>
    <row r="66" spans="1:22" x14ac:dyDescent="0.45">
      <c r="A66" s="293" t="s">
        <v>169</v>
      </c>
      <c r="B66" s="297" t="s">
        <v>3</v>
      </c>
      <c r="C66" s="293" t="str">
        <f t="shared" ref="C66:C129" si="5">A66&amp;B66</f>
        <v>Costa RicaManufacture of basic metals (C24)</v>
      </c>
      <c r="D66" s="297" t="s">
        <v>958</v>
      </c>
      <c r="E66" s="298">
        <v>67.818992640000005</v>
      </c>
      <c r="F66" s="298">
        <v>84.634062720000003</v>
      </c>
      <c r="G66" s="302">
        <v>0.24794042826997664</v>
      </c>
      <c r="H66" s="303">
        <v>23707.8402704</v>
      </c>
      <c r="I66" s="298">
        <v>78.465104859999997</v>
      </c>
      <c r="J66" s="298">
        <v>84.634062720000003</v>
      </c>
      <c r="K66" s="302">
        <v>7.8620399106161365E-2</v>
      </c>
      <c r="L66" s="298">
        <v>96.428441640000003</v>
      </c>
      <c r="M66" s="298">
        <v>103.60476935</v>
      </c>
      <c r="N66" s="298">
        <v>109.4683653</v>
      </c>
      <c r="O66" s="306">
        <v>124.41555135</v>
      </c>
      <c r="P66" s="306" cm="1">
        <f t="array" ref="P66">INDEX($E$2:$E$676, MATCH($B66, $B$2:$B$676, 0) * MATCH("Brazil", $A$2:$A$676, 0))</f>
        <v>23775.659263040001</v>
      </c>
      <c r="Q66" s="306">
        <f t="shared" si="1"/>
        <v>23707.8402704</v>
      </c>
      <c r="R66" s="336">
        <f>INDEX('Base GDP'!$A$1:$E$76,MATCH(A66,'Base GDP'!$A$1:$A$76,0),4)</f>
        <v>56790.776904650003</v>
      </c>
      <c r="S66" s="336">
        <f>INDEX('Base GDP'!$A$1:$E$76,MATCH(A66,'Base GDP'!$A$1:$A$76,0),5)</f>
        <v>66933.267445050005</v>
      </c>
      <c r="T66" s="335">
        <f t="shared" si="2"/>
        <v>1.3816522530012319E-3</v>
      </c>
      <c r="U66" s="335">
        <f t="shared" si="3"/>
        <v>1.264454372998924E-3</v>
      </c>
      <c r="V66" s="335">
        <f t="shared" si="4"/>
        <v>-1.1719788000230788E-4</v>
      </c>
    </row>
    <row r="67" spans="1:22" x14ac:dyDescent="0.45">
      <c r="A67" s="293" t="s">
        <v>170</v>
      </c>
      <c r="B67" s="297" t="s">
        <v>3</v>
      </c>
      <c r="C67" s="293" t="str">
        <f t="shared" si="5"/>
        <v>ChileManufacture of basic metals (C24)</v>
      </c>
      <c r="D67" s="297" t="s">
        <v>958</v>
      </c>
      <c r="E67" s="298">
        <v>97.365771589999994</v>
      </c>
      <c r="F67" s="298">
        <v>82.761672360000006</v>
      </c>
      <c r="G67" s="302">
        <v>-0.14999212753632518</v>
      </c>
      <c r="H67" s="303">
        <v>23678.29349145</v>
      </c>
      <c r="I67" s="298">
        <v>72.679855549999999</v>
      </c>
      <c r="J67" s="298">
        <v>82.761672360000006</v>
      </c>
      <c r="K67" s="302">
        <v>0.13871542167642636</v>
      </c>
      <c r="L67" s="298">
        <v>97.320007610000005</v>
      </c>
      <c r="M67" s="298">
        <v>127.22526541000001</v>
      </c>
      <c r="N67" s="298">
        <v>150.71739456</v>
      </c>
      <c r="O67" s="306">
        <v>210.76032477999999</v>
      </c>
      <c r="P67" s="306" cm="1">
        <f t="array" ref="P67">INDEX($E$2:$E$676, MATCH($B67, $B$2:$B$676, 0) * MATCH("Brazil", $A$2:$A$676, 0))</f>
        <v>23775.659263040001</v>
      </c>
      <c r="Q67" s="306">
        <f t="shared" ref="Q67:Q130" si="6">P67-E67</f>
        <v>23678.29349145</v>
      </c>
      <c r="R67" s="336">
        <f>INDEX('Base GDP'!$A$1:$E$76,MATCH(A67,'Base GDP'!$A$1:$A$76,0),4)</f>
        <v>257576.69277617999</v>
      </c>
      <c r="S67" s="336">
        <f>INDEX('Base GDP'!$A$1:$E$76,MATCH(A67,'Base GDP'!$A$1:$A$76,0),5)</f>
        <v>291863.26262717001</v>
      </c>
      <c r="T67" s="335">
        <f t="shared" ref="T67:T130" si="7">I67/R67</f>
        <v>2.8216782647005569E-4</v>
      </c>
      <c r="U67" s="335">
        <f t="shared" ref="U67:U130" si="8">J67/S67</f>
        <v>2.8356317138043119E-4</v>
      </c>
      <c r="V67" s="335">
        <f t="shared" ref="V67:V130" si="9">U67-T67</f>
        <v>1.3953449103754978E-6</v>
      </c>
    </row>
    <row r="68" spans="1:22" x14ac:dyDescent="0.45">
      <c r="A68" s="293" t="s">
        <v>171</v>
      </c>
      <c r="B68" s="297" t="s">
        <v>3</v>
      </c>
      <c r="C68" s="293" t="str">
        <f t="shared" si="5"/>
        <v>CameroonManufacture of basic metals (C24)</v>
      </c>
      <c r="D68" s="297" t="s">
        <v>958</v>
      </c>
      <c r="E68" s="298">
        <v>52.416925620000001</v>
      </c>
      <c r="F68" s="298">
        <v>74.854855540000003</v>
      </c>
      <c r="G68" s="302">
        <v>0.42806650055490225</v>
      </c>
      <c r="H68" s="303">
        <v>23723.242337420001</v>
      </c>
      <c r="I68" s="298">
        <v>62.700443839999998</v>
      </c>
      <c r="J68" s="298">
        <v>74.854855540000003</v>
      </c>
      <c r="K68" s="302">
        <v>0.19384889413248541</v>
      </c>
      <c r="L68" s="298">
        <v>94.393252419999996</v>
      </c>
      <c r="M68" s="298">
        <v>110.60404178</v>
      </c>
      <c r="N68" s="298">
        <v>120.88899003</v>
      </c>
      <c r="O68" s="306">
        <v>146.45218176</v>
      </c>
      <c r="P68" s="306" cm="1">
        <f t="array" ref="P68">INDEX($E$2:$E$676, MATCH($B68, $B$2:$B$676, 0) * MATCH("Brazil", $A$2:$A$676, 0))</f>
        <v>23775.659263040001</v>
      </c>
      <c r="Q68" s="306">
        <f t="shared" si="6"/>
        <v>23723.242337420001</v>
      </c>
      <c r="R68" s="336">
        <f>INDEX('Base GDP'!$A$1:$E$76,MATCH(A68,'Base GDP'!$A$1:$A$76,0),4)</f>
        <v>34069.891642009999</v>
      </c>
      <c r="S68" s="336">
        <f>INDEX('Base GDP'!$A$1:$E$76,MATCH(A68,'Base GDP'!$A$1:$A$76,0),5)</f>
        <v>41316.84413338</v>
      </c>
      <c r="T68" s="335">
        <f t="shared" si="7"/>
        <v>1.8403476153909159E-3</v>
      </c>
      <c r="U68" s="335">
        <f t="shared" si="8"/>
        <v>1.8117273259872369E-3</v>
      </c>
      <c r="V68" s="335">
        <f t="shared" si="9"/>
        <v>-2.8620289403679007E-5</v>
      </c>
    </row>
    <row r="69" spans="1:22" x14ac:dyDescent="0.45">
      <c r="A69" s="293" t="s">
        <v>172</v>
      </c>
      <c r="B69" s="297" t="s">
        <v>3</v>
      </c>
      <c r="C69" s="293" t="str">
        <f t="shared" si="5"/>
        <v>UruguayManufacture of basic metals (C24)</v>
      </c>
      <c r="D69" s="297" t="s">
        <v>958</v>
      </c>
      <c r="E69" s="298">
        <v>63.452635440000002</v>
      </c>
      <c r="F69" s="298">
        <v>72.885128120000005</v>
      </c>
      <c r="G69" s="302">
        <v>0.14865407267313979</v>
      </c>
      <c r="H69" s="303">
        <v>23712.206627600001</v>
      </c>
      <c r="I69" s="298">
        <v>69.889284480000001</v>
      </c>
      <c r="J69" s="298">
        <v>72.885128120000005</v>
      </c>
      <c r="K69" s="302">
        <v>4.2865564618240093E-2</v>
      </c>
      <c r="L69" s="298">
        <v>57.816220729999998</v>
      </c>
      <c r="M69" s="298">
        <v>63.247005170000001</v>
      </c>
      <c r="N69" s="298">
        <v>67.353415519999999</v>
      </c>
      <c r="O69" s="306">
        <v>74.879737169999999</v>
      </c>
      <c r="P69" s="306" cm="1">
        <f t="array" ref="P69">INDEX($E$2:$E$676, MATCH($B69, $B$2:$B$676, 0) * MATCH("Brazil", $A$2:$A$676, 0))</f>
        <v>23775.659263040001</v>
      </c>
      <c r="Q69" s="306">
        <f t="shared" si="6"/>
        <v>23712.206627600001</v>
      </c>
      <c r="R69" s="336">
        <f>INDEX('Base GDP'!$A$1:$E$76,MATCH(A69,'Base GDP'!$A$1:$A$76,0),4)</f>
        <v>59449.563607900003</v>
      </c>
      <c r="S69" s="336">
        <f>INDEX('Base GDP'!$A$1:$E$76,MATCH(A69,'Base GDP'!$A$1:$A$76,0),5)</f>
        <v>61243.536031950003</v>
      </c>
      <c r="T69" s="335">
        <f t="shared" si="7"/>
        <v>1.1756063499633949E-3</v>
      </c>
      <c r="U69" s="335">
        <f t="shared" si="8"/>
        <v>1.1900868702613241E-3</v>
      </c>
      <c r="V69" s="335">
        <f t="shared" si="9"/>
        <v>1.4480520297929182E-5</v>
      </c>
    </row>
    <row r="70" spans="1:22" x14ac:dyDescent="0.45">
      <c r="A70" s="293" t="s">
        <v>173</v>
      </c>
      <c r="B70" s="297" t="s">
        <v>3</v>
      </c>
      <c r="C70" s="293" t="str">
        <f t="shared" si="5"/>
        <v>PanamaManufacture of basic metals (C24)</v>
      </c>
      <c r="D70" s="297" t="s">
        <v>958</v>
      </c>
      <c r="E70" s="298">
        <v>39.135227810000004</v>
      </c>
      <c r="F70" s="298">
        <v>66.025114590000001</v>
      </c>
      <c r="G70" s="302">
        <v>0.68710183343123354</v>
      </c>
      <c r="H70" s="303">
        <v>23736.524035230002</v>
      </c>
      <c r="I70" s="298">
        <v>66.448606859999998</v>
      </c>
      <c r="J70" s="298">
        <v>66.025114590000001</v>
      </c>
      <c r="K70" s="302">
        <v>-6.3732302302778043E-3</v>
      </c>
      <c r="L70" s="298">
        <v>68.908620720000002</v>
      </c>
      <c r="M70" s="298">
        <v>72.439230030000004</v>
      </c>
      <c r="N70" s="298">
        <v>74.781644869999994</v>
      </c>
      <c r="O70" s="306">
        <v>79.396824010000003</v>
      </c>
      <c r="P70" s="306" cm="1">
        <f t="array" ref="P70">INDEX($E$2:$E$676, MATCH($B70, $B$2:$B$676, 0) * MATCH("Brazil", $A$2:$A$676, 0))</f>
        <v>23775.659263040001</v>
      </c>
      <c r="Q70" s="306">
        <f t="shared" si="6"/>
        <v>23736.524035230002</v>
      </c>
      <c r="R70" s="336">
        <f>INDEX('Base GDP'!$A$1:$E$76,MATCH(A70,'Base GDP'!$A$1:$A$76,0),4)</f>
        <v>58921.61186117</v>
      </c>
      <c r="S70" s="336">
        <f>INDEX('Base GDP'!$A$1:$E$76,MATCH(A70,'Base GDP'!$A$1:$A$76,0),5)</f>
        <v>65983.988595749994</v>
      </c>
      <c r="T70" s="335">
        <f t="shared" si="7"/>
        <v>1.1277459112382221E-3</v>
      </c>
      <c r="U70" s="335">
        <f t="shared" si="8"/>
        <v>1.0006232723290185E-3</v>
      </c>
      <c r="V70" s="335">
        <f t="shared" si="9"/>
        <v>-1.2712263890920367E-4</v>
      </c>
    </row>
    <row r="71" spans="1:22" x14ac:dyDescent="0.45">
      <c r="A71" s="293" t="s">
        <v>174</v>
      </c>
      <c r="B71" s="297" t="s">
        <v>3</v>
      </c>
      <c r="C71" s="293" t="str">
        <f t="shared" si="5"/>
        <v>Sri LankaManufacture of basic metals (C24)</v>
      </c>
      <c r="D71" s="297" t="s">
        <v>958</v>
      </c>
      <c r="E71" s="298">
        <v>43.929664430000003</v>
      </c>
      <c r="F71" s="298">
        <v>65.232299920000003</v>
      </c>
      <c r="G71" s="302">
        <v>0.48492597806989446</v>
      </c>
      <c r="H71" s="303">
        <v>23731.72959861</v>
      </c>
      <c r="I71" s="298">
        <v>49.972218230000003</v>
      </c>
      <c r="J71" s="298">
        <v>65.232299920000003</v>
      </c>
      <c r="K71" s="302">
        <v>0.30537130890937436</v>
      </c>
      <c r="L71" s="298">
        <v>52.010171669999998</v>
      </c>
      <c r="M71" s="298">
        <v>61.213290129999997</v>
      </c>
      <c r="N71" s="298">
        <v>68.828726599999996</v>
      </c>
      <c r="O71" s="306">
        <v>87.864550600000001</v>
      </c>
      <c r="P71" s="306" cm="1">
        <f t="array" ref="P71">INDEX($E$2:$E$676, MATCH($B71, $B$2:$B$676, 0) * MATCH("Brazil", $A$2:$A$676, 0))</f>
        <v>23775.659263040001</v>
      </c>
      <c r="Q71" s="306">
        <f t="shared" si="6"/>
        <v>23731.72959861</v>
      </c>
      <c r="R71" s="336">
        <f>INDEX('Base GDP'!$A$1:$E$76,MATCH(A71,'Base GDP'!$A$1:$A$76,0),4)</f>
        <v>77969.257644440004</v>
      </c>
      <c r="S71" s="336">
        <f>INDEX('Base GDP'!$A$1:$E$76,MATCH(A71,'Base GDP'!$A$1:$A$76,0),5)</f>
        <v>87884.425158479993</v>
      </c>
      <c r="T71" s="335">
        <f t="shared" si="7"/>
        <v>6.4092207287500739E-4</v>
      </c>
      <c r="U71" s="335">
        <f t="shared" si="8"/>
        <v>7.422509711176704E-4</v>
      </c>
      <c r="V71" s="335">
        <f t="shared" si="9"/>
        <v>1.0132889824266301E-4</v>
      </c>
    </row>
    <row r="72" spans="1:22" x14ac:dyDescent="0.45">
      <c r="A72" s="293" t="s">
        <v>175</v>
      </c>
      <c r="B72" s="297" t="s">
        <v>3</v>
      </c>
      <c r="C72" s="293" t="str">
        <f t="shared" si="5"/>
        <v>KenyaManufacture of basic metals (C24)</v>
      </c>
      <c r="D72" s="297" t="s">
        <v>958</v>
      </c>
      <c r="E72" s="298">
        <v>40.812728030000002</v>
      </c>
      <c r="F72" s="298">
        <v>57.346065609999997</v>
      </c>
      <c r="G72" s="302">
        <v>0.40510248586781361</v>
      </c>
      <c r="H72" s="303">
        <v>23734.846535010001</v>
      </c>
      <c r="I72" s="298">
        <v>48.312023879999998</v>
      </c>
      <c r="J72" s="298">
        <v>57.346065609999997</v>
      </c>
      <c r="K72" s="302">
        <v>0.18699365094783116</v>
      </c>
      <c r="L72" s="298">
        <v>67.260609020000004</v>
      </c>
      <c r="M72" s="298">
        <v>83.30076296</v>
      </c>
      <c r="N72" s="298">
        <v>97.588032620000007</v>
      </c>
      <c r="O72" s="306">
        <v>138.19906712</v>
      </c>
      <c r="P72" s="306" cm="1">
        <f t="array" ref="P72">INDEX($E$2:$E$676, MATCH($B72, $B$2:$B$676, 0) * MATCH("Brazil", $A$2:$A$676, 0))</f>
        <v>23775.659263040001</v>
      </c>
      <c r="Q72" s="306">
        <f t="shared" si="6"/>
        <v>23734.846535010001</v>
      </c>
      <c r="R72" s="336">
        <f>INDEX('Base GDP'!$A$1:$E$76,MATCH(A72,'Base GDP'!$A$1:$A$76,0),4)</f>
        <v>83525.195225389994</v>
      </c>
      <c r="S72" s="336">
        <f>INDEX('Base GDP'!$A$1:$E$76,MATCH(A72,'Base GDP'!$A$1:$A$76,0),5)</f>
        <v>107697.99713524</v>
      </c>
      <c r="T72" s="335">
        <f t="shared" si="7"/>
        <v>5.7841258257022431E-4</v>
      </c>
      <c r="U72" s="335">
        <f t="shared" si="8"/>
        <v>5.3247104993037718E-4</v>
      </c>
      <c r="V72" s="335">
        <f t="shared" si="9"/>
        <v>-4.5941532639847131E-5</v>
      </c>
    </row>
    <row r="73" spans="1:22" x14ac:dyDescent="0.45">
      <c r="A73" s="293" t="s">
        <v>176</v>
      </c>
      <c r="B73" s="297" t="s">
        <v>3</v>
      </c>
      <c r="C73" s="293" t="str">
        <f t="shared" si="5"/>
        <v>JordanManufacture of basic metals (C24)</v>
      </c>
      <c r="D73" s="297" t="s">
        <v>958</v>
      </c>
      <c r="E73" s="298">
        <v>80.674084620000002</v>
      </c>
      <c r="F73" s="298">
        <v>49.083939979999997</v>
      </c>
      <c r="G73" s="302">
        <v>-0.39157735459657705</v>
      </c>
      <c r="H73" s="303">
        <v>23694.98517842</v>
      </c>
      <c r="I73" s="298">
        <v>77.715619860000004</v>
      </c>
      <c r="J73" s="298">
        <v>49.083939979999997</v>
      </c>
      <c r="K73" s="302">
        <v>-0.36841602668264439</v>
      </c>
      <c r="L73" s="298">
        <v>48.710464270000003</v>
      </c>
      <c r="M73" s="298">
        <v>50.542375759999999</v>
      </c>
      <c r="N73" s="298">
        <v>51.871371549999999</v>
      </c>
      <c r="O73" s="306">
        <v>54.76912197</v>
      </c>
      <c r="P73" s="306" cm="1">
        <f t="array" ref="P73">INDEX($E$2:$E$676, MATCH($B73, $B$2:$B$676, 0) * MATCH("Brazil", $A$2:$A$676, 0))</f>
        <v>23775.659263040001</v>
      </c>
      <c r="Q73" s="306">
        <f t="shared" si="6"/>
        <v>23694.98517842</v>
      </c>
      <c r="R73" s="336">
        <f>INDEX('Base GDP'!$A$1:$E$76,MATCH(A73,'Base GDP'!$A$1:$A$76,0),4)</f>
        <v>41181.394892199998</v>
      </c>
      <c r="S73" s="336">
        <f>INDEX('Base GDP'!$A$1:$E$76,MATCH(A73,'Base GDP'!$A$1:$A$76,0),5)</f>
        <v>44841.419332370002</v>
      </c>
      <c r="T73" s="335">
        <f t="shared" si="7"/>
        <v>1.8871536543003259E-3</v>
      </c>
      <c r="U73" s="335">
        <f t="shared" si="8"/>
        <v>1.0946116494704131E-3</v>
      </c>
      <c r="V73" s="335">
        <f t="shared" si="9"/>
        <v>-7.9254200482991276E-4</v>
      </c>
    </row>
    <row r="74" spans="1:22" x14ac:dyDescent="0.45">
      <c r="A74" s="293" t="s">
        <v>177</v>
      </c>
      <c r="B74" s="297" t="s">
        <v>3</v>
      </c>
      <c r="C74" s="293" t="str">
        <f t="shared" si="5"/>
        <v>BoliviaManufacture of basic metals (C24)</v>
      </c>
      <c r="D74" s="297" t="s">
        <v>958</v>
      </c>
      <c r="E74" s="298">
        <v>29.475167039999999</v>
      </c>
      <c r="F74" s="298">
        <v>34.59387066</v>
      </c>
      <c r="G74" s="302">
        <v>0.17366156442993308</v>
      </c>
      <c r="H74" s="303">
        <v>23746.184096000001</v>
      </c>
      <c r="I74" s="298">
        <v>32.501730080000002</v>
      </c>
      <c r="J74" s="298">
        <v>34.59387066</v>
      </c>
      <c r="K74" s="302">
        <v>6.4370129677724597E-2</v>
      </c>
      <c r="L74" s="298">
        <v>33.929531769999997</v>
      </c>
      <c r="M74" s="298">
        <v>41.348223259999997</v>
      </c>
      <c r="N74" s="298">
        <v>47.510930999999999</v>
      </c>
      <c r="O74" s="306">
        <v>62.719984089999997</v>
      </c>
      <c r="P74" s="306" cm="1">
        <f t="array" ref="P74">INDEX($E$2:$E$676, MATCH($B74, $B$2:$B$676, 0) * MATCH("Brazil", $A$2:$A$676, 0))</f>
        <v>23775.659263040001</v>
      </c>
      <c r="Q74" s="306">
        <f t="shared" si="6"/>
        <v>23746.184096000001</v>
      </c>
      <c r="R74" s="336">
        <f>INDEX('Base GDP'!$A$1:$E$76,MATCH(A74,'Base GDP'!$A$1:$A$76,0),4)</f>
        <v>35334.894672080001</v>
      </c>
      <c r="S74" s="336">
        <f>INDEX('Base GDP'!$A$1:$E$76,MATCH(A74,'Base GDP'!$A$1:$A$76,0),5)</f>
        <v>39600.741188879998</v>
      </c>
      <c r="T74" s="335">
        <f t="shared" si="7"/>
        <v>9.1981963952708103E-4</v>
      </c>
      <c r="U74" s="335">
        <f t="shared" si="8"/>
        <v>8.7356624198018946E-4</v>
      </c>
      <c r="V74" s="335">
        <f t="shared" si="9"/>
        <v>-4.6253397546891571E-5</v>
      </c>
    </row>
    <row r="75" spans="1:22" x14ac:dyDescent="0.45">
      <c r="A75" s="293" t="s">
        <v>178</v>
      </c>
      <c r="B75" s="297" t="s">
        <v>3</v>
      </c>
      <c r="C75" s="293" t="str">
        <f t="shared" si="5"/>
        <v>SenegalManufacture of basic metals (C24)</v>
      </c>
      <c r="D75" s="297" t="s">
        <v>958</v>
      </c>
      <c r="E75" s="298">
        <v>14.681953630000001</v>
      </c>
      <c r="F75" s="298">
        <v>16.932936269999999</v>
      </c>
      <c r="G75" s="302">
        <v>0.15331628860348046</v>
      </c>
      <c r="H75" s="303">
        <v>23760.977309410002</v>
      </c>
      <c r="I75" s="298">
        <v>17.299928990000002</v>
      </c>
      <c r="J75" s="298">
        <v>16.932936269999999</v>
      </c>
      <c r="K75" s="302">
        <v>-2.1213539096729073E-2</v>
      </c>
      <c r="L75" s="298">
        <v>19.376459239999999</v>
      </c>
      <c r="M75" s="298">
        <v>25.449113560000001</v>
      </c>
      <c r="N75" s="298">
        <v>30.670216310000001</v>
      </c>
      <c r="O75" s="306">
        <v>45.475460589999997</v>
      </c>
      <c r="P75" s="306" cm="1">
        <f t="array" ref="P75">INDEX($E$2:$E$676, MATCH($B75, $B$2:$B$676, 0) * MATCH("Brazil", $A$2:$A$676, 0))</f>
        <v>23775.659263040001</v>
      </c>
      <c r="Q75" s="306">
        <f t="shared" si="6"/>
        <v>23760.977309410002</v>
      </c>
      <c r="R75" s="336">
        <f>INDEX('Base GDP'!$A$1:$E$76,MATCH(A75,'Base GDP'!$A$1:$A$76,0),4)</f>
        <v>18437.455260710001</v>
      </c>
      <c r="S75" s="336">
        <f>INDEX('Base GDP'!$A$1:$E$76,MATCH(A75,'Base GDP'!$A$1:$A$76,0),5)</f>
        <v>25150.80803964</v>
      </c>
      <c r="T75" s="335">
        <f t="shared" si="7"/>
        <v>9.3830351018483256E-4</v>
      </c>
      <c r="U75" s="335">
        <f t="shared" si="8"/>
        <v>6.73256153174567E-4</v>
      </c>
      <c r="V75" s="335">
        <f t="shared" si="9"/>
        <v>-2.6504735701026556E-4</v>
      </c>
    </row>
    <row r="76" spans="1:22" x14ac:dyDescent="0.45">
      <c r="A76" s="293" t="s">
        <v>179</v>
      </c>
      <c r="B76" s="297" t="s">
        <v>3</v>
      </c>
      <c r="C76" s="293" t="str">
        <f t="shared" si="5"/>
        <v>WorldManufacture of basic metals (C24)</v>
      </c>
      <c r="D76" s="297" t="s">
        <v>958</v>
      </c>
      <c r="E76" s="298">
        <v>547939.45604352001</v>
      </c>
      <c r="F76" s="298">
        <v>736025.89218534005</v>
      </c>
      <c r="G76" s="302">
        <v>0.34326134770422767</v>
      </c>
      <c r="H76" s="303">
        <v>524163.79678048001</v>
      </c>
      <c r="I76" s="298">
        <v>649270.93178572005</v>
      </c>
      <c r="J76" s="298">
        <v>736025.89218534005</v>
      </c>
      <c r="K76" s="302">
        <v>0.13361904276387948</v>
      </c>
      <c r="L76" s="298">
        <v>860321.18573759997</v>
      </c>
      <c r="M76" s="298">
        <v>1012801.5612118</v>
      </c>
      <c r="N76" s="298">
        <v>1131334.8344133999</v>
      </c>
      <c r="O76" s="306">
        <v>1428587.020978</v>
      </c>
      <c r="P76" s="306" cm="1">
        <f t="array" ref="P76">INDEX($E$2:$E$676, MATCH($B76, $B$2:$B$676, 0) * MATCH("Brazil", $A$2:$A$676, 0))</f>
        <v>23775.659263040001</v>
      </c>
      <c r="Q76" s="306">
        <f t="shared" si="6"/>
        <v>-524163.79678048001</v>
      </c>
      <c r="R76" s="336">
        <f>INDEX('Base GDP'!$A$1:$E$76,MATCH(A76,'Base GDP'!$A$1:$A$76,0),4)</f>
        <v>74892116.540485993</v>
      </c>
      <c r="S76" s="336">
        <f>INDEX('Base GDP'!$A$1:$E$76,MATCH(A76,'Base GDP'!$A$1:$A$76,0),5)</f>
        <v>87029234.955234006</v>
      </c>
      <c r="T76" s="335">
        <f t="shared" si="7"/>
        <v>8.6694162453631561E-3</v>
      </c>
      <c r="U76" s="335">
        <f t="shared" si="8"/>
        <v>8.4572258111189434E-3</v>
      </c>
      <c r="V76" s="335">
        <f t="shared" si="9"/>
        <v>-2.1219043424421276E-4</v>
      </c>
    </row>
    <row r="77" spans="1:22" x14ac:dyDescent="0.45">
      <c r="A77" s="293" t="s">
        <v>141</v>
      </c>
      <c r="B77" s="297" t="s">
        <v>2</v>
      </c>
      <c r="C77" s="293" t="str">
        <f t="shared" si="5"/>
        <v>United StatesManufacture of basic pharmaceutical products and pharmaceutical preparations (C21)</v>
      </c>
      <c r="D77" s="297" t="s">
        <v>958</v>
      </c>
      <c r="E77" s="298">
        <v>209759.85424106001</v>
      </c>
      <c r="F77" s="298">
        <v>192886.45634442</v>
      </c>
      <c r="G77" s="302">
        <v>-8.0441502773208273E-2</v>
      </c>
      <c r="H77" s="303">
        <v>198993.53265830001</v>
      </c>
      <c r="I77" s="298">
        <v>171459.79359434999</v>
      </c>
      <c r="J77" s="298">
        <v>192886.45634442</v>
      </c>
      <c r="K77" s="302">
        <v>0.12496610605260905</v>
      </c>
      <c r="L77" s="298">
        <v>236022.54291217</v>
      </c>
      <c r="M77" s="298">
        <v>256022.88756905001</v>
      </c>
      <c r="N77" s="298">
        <v>274086.60995221999</v>
      </c>
      <c r="O77" s="306">
        <v>322681.41171069001</v>
      </c>
      <c r="P77" s="306" cm="1">
        <f t="array" ref="P77">INDEX($E$2:$E$676, MATCH($B77, $B$2:$B$676, 0) * MATCH("Brazil", $A$2:$A$676, 0))</f>
        <v>12731.633698920001</v>
      </c>
      <c r="Q77" s="306">
        <f t="shared" si="6"/>
        <v>-197028.22054214001</v>
      </c>
      <c r="R77" s="336">
        <f>INDEX('Base GDP'!$A$1:$E$76,MATCH(A77,'Base GDP'!$A$1:$A$76,0),4)</f>
        <v>19553083.060252</v>
      </c>
      <c r="S77" s="336">
        <f>INDEX('Base GDP'!$A$1:$E$76,MATCH(A77,'Base GDP'!$A$1:$A$76,0),5)</f>
        <v>22265681.170655001</v>
      </c>
      <c r="T77" s="335">
        <f t="shared" si="7"/>
        <v>8.7689390499699656E-3</v>
      </c>
      <c r="U77" s="335">
        <f t="shared" si="8"/>
        <v>8.662948816433886E-3</v>
      </c>
      <c r="V77" s="335">
        <f t="shared" si="9"/>
        <v>-1.0599023353607961E-4</v>
      </c>
    </row>
    <row r="78" spans="1:22" x14ac:dyDescent="0.45">
      <c r="A78" s="293" t="s">
        <v>907</v>
      </c>
      <c r="B78" s="297" t="s">
        <v>2</v>
      </c>
      <c r="C78" s="293" t="str">
        <f t="shared" si="5"/>
        <v>ChinaManufacture of basic pharmaceutical products and pharmaceutical preparations (C21)</v>
      </c>
      <c r="D78" s="297" t="s">
        <v>958</v>
      </c>
      <c r="E78" s="298">
        <v>59575.483943940002</v>
      </c>
      <c r="F78" s="298">
        <v>188526.87714595001</v>
      </c>
      <c r="G78" s="302">
        <v>2.1645043340873591</v>
      </c>
      <c r="H78" s="303">
        <v>48809.162361180002</v>
      </c>
      <c r="I78" s="298">
        <v>101110.03400001999</v>
      </c>
      <c r="J78" s="298">
        <v>188526.87714595001</v>
      </c>
      <c r="K78" s="302">
        <v>0.86457139502012947</v>
      </c>
      <c r="L78" s="298">
        <v>190323.67175491</v>
      </c>
      <c r="M78" s="298">
        <v>233339.73613574001</v>
      </c>
      <c r="N78" s="298">
        <v>268925.24087605998</v>
      </c>
      <c r="O78" s="306">
        <v>360191.49613282998</v>
      </c>
      <c r="P78" s="306" cm="1">
        <f t="array" ref="P78">INDEX($E$2:$E$676, MATCH($B78, $B$2:$B$676, 0) * MATCH("Brazil", $A$2:$A$676, 0))</f>
        <v>12731.633698920001</v>
      </c>
      <c r="Q78" s="306">
        <f t="shared" si="6"/>
        <v>-46843.850245020003</v>
      </c>
      <c r="R78" s="336">
        <f>INDEX('Base GDP'!$A$1:$E$76,MATCH(A78,'Base GDP'!$A$1:$A$76,0),4)</f>
        <v>11048064.947659001</v>
      </c>
      <c r="S78" s="336">
        <f>INDEX('Base GDP'!$A$1:$E$76,MATCH(A78,'Base GDP'!$A$1:$A$76,0),5)</f>
        <v>15827750.501527</v>
      </c>
      <c r="T78" s="335">
        <f t="shared" si="7"/>
        <v>9.1518319704885897E-3</v>
      </c>
      <c r="U78" s="335">
        <f t="shared" si="8"/>
        <v>1.1911160535905697E-2</v>
      </c>
      <c r="V78" s="335">
        <f t="shared" si="9"/>
        <v>2.7593285654171074E-3</v>
      </c>
    </row>
    <row r="79" spans="1:22" x14ac:dyDescent="0.45">
      <c r="A79" s="293" t="s">
        <v>127</v>
      </c>
      <c r="B79" s="297" t="s">
        <v>2</v>
      </c>
      <c r="C79" s="293" t="str">
        <f t="shared" si="5"/>
        <v>IrelandManufacture of basic pharmaceutical products and pharmaceutical preparations (C21)</v>
      </c>
      <c r="D79" s="297" t="s">
        <v>958</v>
      </c>
      <c r="E79" s="298">
        <v>24656.136220249999</v>
      </c>
      <c r="F79" s="298">
        <v>96436.395466749993</v>
      </c>
      <c r="G79" s="302">
        <v>2.9112533531327229</v>
      </c>
      <c r="H79" s="303">
        <v>13889.814637489999</v>
      </c>
      <c r="I79" s="298">
        <v>53668.579307139997</v>
      </c>
      <c r="J79" s="298">
        <v>96436.395466749993</v>
      </c>
      <c r="K79" s="302">
        <v>0.79688742858002626</v>
      </c>
      <c r="L79" s="298">
        <v>105932.30864642</v>
      </c>
      <c r="M79" s="298">
        <v>118963.30898604001</v>
      </c>
      <c r="N79" s="298">
        <v>130444.47115423001</v>
      </c>
      <c r="O79" s="306">
        <v>160082.55613025001</v>
      </c>
      <c r="P79" s="306" cm="1">
        <f t="array" ref="P79">INDEX($E$2:$E$676, MATCH($B79, $B$2:$B$676, 0) * MATCH("Brazil", $A$2:$A$676, 0))</f>
        <v>12731.633698920001</v>
      </c>
      <c r="Q79" s="306">
        <f t="shared" si="6"/>
        <v>-11924.502521329998</v>
      </c>
      <c r="R79" s="336">
        <f>INDEX('Base GDP'!$A$1:$E$76,MATCH(A79,'Base GDP'!$A$1:$A$76,0),4)</f>
        <v>308812.05776281998</v>
      </c>
      <c r="S79" s="336">
        <f>INDEX('Base GDP'!$A$1:$E$76,MATCH(A79,'Base GDP'!$A$1:$A$76,0),5)</f>
        <v>483748.84960921999</v>
      </c>
      <c r="T79" s="335">
        <f t="shared" si="7"/>
        <v>0.17379042675969478</v>
      </c>
      <c r="U79" s="335">
        <f t="shared" si="8"/>
        <v>0.19935219596832704</v>
      </c>
      <c r="V79" s="335">
        <f t="shared" si="9"/>
        <v>2.5561769208632262E-2</v>
      </c>
    </row>
    <row r="80" spans="1:22" x14ac:dyDescent="0.45">
      <c r="A80" s="293" t="s">
        <v>100</v>
      </c>
      <c r="B80" s="297" t="s">
        <v>2</v>
      </c>
      <c r="C80" s="293" t="str">
        <f t="shared" si="5"/>
        <v>JapanManufacture of basic pharmaceutical products and pharmaceutical preparations (C21)</v>
      </c>
      <c r="D80" s="297" t="s">
        <v>958</v>
      </c>
      <c r="E80" s="298">
        <v>39653.820989489999</v>
      </c>
      <c r="F80" s="298">
        <v>42834.605834599999</v>
      </c>
      <c r="G80" s="302">
        <v>8.0213829732903807E-2</v>
      </c>
      <c r="H80" s="303">
        <v>28887.499406729999</v>
      </c>
      <c r="I80" s="298">
        <v>43647.140283449997</v>
      </c>
      <c r="J80" s="298">
        <v>42834.605834599999</v>
      </c>
      <c r="K80" s="302">
        <v>-1.8615983626265042E-2</v>
      </c>
      <c r="L80" s="298">
        <v>56330.960356819996</v>
      </c>
      <c r="M80" s="298">
        <v>60454.128602500001</v>
      </c>
      <c r="N80" s="298">
        <v>63627.977858229999</v>
      </c>
      <c r="O80" s="306">
        <v>70669.461751540002</v>
      </c>
      <c r="P80" s="306" cm="1">
        <f t="array" ref="P80">INDEX($E$2:$E$676, MATCH($B80, $B$2:$B$676, 0) * MATCH("Brazil", $A$2:$A$676, 0))</f>
        <v>12731.633698920001</v>
      </c>
      <c r="Q80" s="306">
        <f t="shared" si="6"/>
        <v>-26922.18729057</v>
      </c>
      <c r="R80" s="336">
        <f>INDEX('Base GDP'!$A$1:$E$76,MATCH(A80,'Base GDP'!$A$1:$A$76,0),4)</f>
        <v>4983596.864085</v>
      </c>
      <c r="S80" s="336">
        <f>INDEX('Base GDP'!$A$1:$E$76,MATCH(A80,'Base GDP'!$A$1:$A$76,0),5)</f>
        <v>5032370.4042106001</v>
      </c>
      <c r="T80" s="335">
        <f t="shared" si="7"/>
        <v>8.7581603154940815E-3</v>
      </c>
      <c r="U80" s="335">
        <f t="shared" si="8"/>
        <v>8.5118149885708237E-3</v>
      </c>
      <c r="V80" s="335">
        <f t="shared" si="9"/>
        <v>-2.4634532692325781E-4</v>
      </c>
    </row>
    <row r="81" spans="1:22" x14ac:dyDescent="0.45">
      <c r="A81" s="293" t="s">
        <v>67</v>
      </c>
      <c r="B81" s="297" t="s">
        <v>2</v>
      </c>
      <c r="C81" s="293" t="str">
        <f t="shared" si="5"/>
        <v>SwitzerlandManufacture of basic pharmaceutical products and pharmaceutical preparations (C21)</v>
      </c>
      <c r="D81" s="297" t="s">
        <v>958</v>
      </c>
      <c r="E81" s="298">
        <v>14821.15875321</v>
      </c>
      <c r="F81" s="298">
        <v>41579.123975199996</v>
      </c>
      <c r="G81" s="302">
        <v>1.8053895560760185</v>
      </c>
      <c r="H81" s="303">
        <v>4054.8371704500005</v>
      </c>
      <c r="I81" s="298">
        <v>22573.808900870001</v>
      </c>
      <c r="J81" s="298">
        <v>41579.123975199996</v>
      </c>
      <c r="K81" s="302">
        <v>0.84191884310660248</v>
      </c>
      <c r="L81" s="298">
        <v>51740.733864460002</v>
      </c>
      <c r="M81" s="298">
        <v>56449.549785800002</v>
      </c>
      <c r="N81" s="298">
        <v>59808.380217420003</v>
      </c>
      <c r="O81" s="306">
        <v>67695.341973160001</v>
      </c>
      <c r="P81" s="306" cm="1">
        <f t="array" ref="P81">INDEX($E$2:$E$676, MATCH($B81, $B$2:$B$676, 0) * MATCH("Brazil", $A$2:$A$676, 0))</f>
        <v>12731.633698920001</v>
      </c>
      <c r="Q81" s="306">
        <f t="shared" si="6"/>
        <v>-2089.5250542899994</v>
      </c>
      <c r="R81" s="336">
        <f>INDEX('Base GDP'!$A$1:$E$76,MATCH(A81,'Base GDP'!$A$1:$A$76,0),4)</f>
        <v>669989.49931316997</v>
      </c>
      <c r="S81" s="336">
        <f>INDEX('Base GDP'!$A$1:$E$76,MATCH(A81,'Base GDP'!$A$1:$A$76,0),5)</f>
        <v>743458.79269773001</v>
      </c>
      <c r="T81" s="335">
        <f t="shared" si="7"/>
        <v>3.3692780146571275E-2</v>
      </c>
      <c r="U81" s="335">
        <f t="shared" si="8"/>
        <v>5.5926601963136549E-2</v>
      </c>
      <c r="V81" s="335">
        <f t="shared" si="9"/>
        <v>2.2233821816565275E-2</v>
      </c>
    </row>
    <row r="82" spans="1:22" x14ac:dyDescent="0.45">
      <c r="A82" s="293" t="s">
        <v>98</v>
      </c>
      <c r="B82" s="297" t="s">
        <v>2</v>
      </c>
      <c r="C82" s="293" t="str">
        <f t="shared" si="5"/>
        <v>GermanyManufacture of basic pharmaceutical products and pharmaceutical preparations (C21)</v>
      </c>
      <c r="D82" s="297" t="s">
        <v>958</v>
      </c>
      <c r="E82" s="298">
        <v>23385.95732446</v>
      </c>
      <c r="F82" s="298">
        <v>31315.48094668</v>
      </c>
      <c r="G82" s="302">
        <v>0.33907201284106936</v>
      </c>
      <c r="H82" s="303">
        <v>12619.6357417</v>
      </c>
      <c r="I82" s="298">
        <v>24582.63873386</v>
      </c>
      <c r="J82" s="298">
        <v>31315.48094668</v>
      </c>
      <c r="K82" s="302">
        <v>0.27388606592286679</v>
      </c>
      <c r="L82" s="298">
        <v>32511.074547429998</v>
      </c>
      <c r="M82" s="298">
        <v>35016.805354789998</v>
      </c>
      <c r="N82" s="298">
        <v>36809.016451000003</v>
      </c>
      <c r="O82" s="306">
        <v>40523.367076169998</v>
      </c>
      <c r="P82" s="306" cm="1">
        <f t="array" ref="P82">INDEX($E$2:$E$676, MATCH($B82, $B$2:$B$676, 0) * MATCH("Brazil", $A$2:$A$676, 0))</f>
        <v>12731.633698920001</v>
      </c>
      <c r="Q82" s="306">
        <f t="shared" si="6"/>
        <v>-10654.323625539999</v>
      </c>
      <c r="R82" s="336">
        <f>INDEX('Base GDP'!$A$1:$E$76,MATCH(A82,'Base GDP'!$A$1:$A$76,0),4)</f>
        <v>3626843.1759532001</v>
      </c>
      <c r="S82" s="336">
        <f>INDEX('Base GDP'!$A$1:$E$76,MATCH(A82,'Base GDP'!$A$1:$A$76,0),5)</f>
        <v>3849084.4984781002</v>
      </c>
      <c r="T82" s="335">
        <f t="shared" si="7"/>
        <v>6.7779712386927884E-3</v>
      </c>
      <c r="U82" s="335">
        <f t="shared" si="8"/>
        <v>8.1358257941757089E-3</v>
      </c>
      <c r="V82" s="335">
        <f t="shared" si="9"/>
        <v>1.3578545554829204E-3</v>
      </c>
    </row>
    <row r="83" spans="1:22" x14ac:dyDescent="0.45">
      <c r="A83" s="293" t="s">
        <v>76</v>
      </c>
      <c r="B83" s="297" t="s">
        <v>2</v>
      </c>
      <c r="C83" s="293" t="str">
        <f t="shared" si="5"/>
        <v>United KingdomManufacture of basic pharmaceutical products and pharmaceutical preparations (C21)</v>
      </c>
      <c r="D83" s="297" t="s">
        <v>958</v>
      </c>
      <c r="E83" s="298">
        <v>20992.219192379998</v>
      </c>
      <c r="F83" s="298">
        <v>20520.417698699999</v>
      </c>
      <c r="G83" s="302">
        <v>-2.2475065135145855E-2</v>
      </c>
      <c r="H83" s="303">
        <v>10225.897609619999</v>
      </c>
      <c r="I83" s="298">
        <v>18397.765000759999</v>
      </c>
      <c r="J83" s="298">
        <v>20520.417698699999</v>
      </c>
      <c r="K83" s="302">
        <v>0.11537557403588505</v>
      </c>
      <c r="L83" s="298">
        <v>21336.70069514</v>
      </c>
      <c r="M83" s="298">
        <v>22581.271300560002</v>
      </c>
      <c r="N83" s="298">
        <v>23349.225295659999</v>
      </c>
      <c r="O83" s="306">
        <v>25454.363364370001</v>
      </c>
      <c r="P83" s="306" cm="1">
        <f t="array" ref="P83">INDEX($E$2:$E$676, MATCH($B83, $B$2:$B$676, 0) * MATCH("Brazil", $A$2:$A$676, 0))</f>
        <v>12731.633698920001</v>
      </c>
      <c r="Q83" s="306">
        <f t="shared" si="6"/>
        <v>-8260.5854934599975</v>
      </c>
      <c r="R83" s="336">
        <f>INDEX('Base GDP'!$A$1:$E$76,MATCH(A83,'Base GDP'!$A$1:$A$76,0),4)</f>
        <v>2643868.3114987002</v>
      </c>
      <c r="S83" s="336">
        <f>INDEX('Base GDP'!$A$1:$E$76,MATCH(A83,'Base GDP'!$A$1:$A$76,0),5)</f>
        <v>2777419.6130784</v>
      </c>
      <c r="T83" s="335">
        <f t="shared" si="7"/>
        <v>6.9586540754486602E-3</v>
      </c>
      <c r="U83" s="335">
        <f t="shared" si="8"/>
        <v>7.388303014090063E-3</v>
      </c>
      <c r="V83" s="335">
        <f t="shared" si="9"/>
        <v>4.2964893864140281E-4</v>
      </c>
    </row>
    <row r="84" spans="1:22" x14ac:dyDescent="0.45">
      <c r="A84" s="293" t="s">
        <v>70</v>
      </c>
      <c r="B84" s="297" t="s">
        <v>2</v>
      </c>
      <c r="C84" s="293" t="str">
        <f t="shared" si="5"/>
        <v>IndiaManufacture of basic pharmaceutical products and pharmaceutical preparations (C21)</v>
      </c>
      <c r="D84" s="297" t="s">
        <v>958</v>
      </c>
      <c r="E84" s="298">
        <v>8320.0562610800007</v>
      </c>
      <c r="F84" s="298">
        <v>18039.268460399999</v>
      </c>
      <c r="G84" s="302">
        <v>1.1681666438705522</v>
      </c>
      <c r="H84" s="303">
        <v>2446.265321679999</v>
      </c>
      <c r="I84" s="298">
        <v>10482.81183871</v>
      </c>
      <c r="J84" s="298">
        <v>18039.268460399999</v>
      </c>
      <c r="K84" s="302">
        <v>0.72084253136989296</v>
      </c>
      <c r="L84" s="298">
        <v>24028.693883420001</v>
      </c>
      <c r="M84" s="298">
        <v>30431.17759254</v>
      </c>
      <c r="N84" s="298">
        <v>35451.32252614</v>
      </c>
      <c r="O84" s="306">
        <v>48486.722798449999</v>
      </c>
      <c r="P84" s="306" cm="1">
        <f t="array" ref="P84">INDEX($E$2:$E$676, MATCH($B84, $B$2:$B$676, 0) * MATCH("Brazil", $A$2:$A$676, 0))</f>
        <v>12731.633698920001</v>
      </c>
      <c r="Q84" s="306">
        <f t="shared" si="6"/>
        <v>4411.5774378400001</v>
      </c>
      <c r="R84" s="336">
        <f>INDEX('Base GDP'!$A$1:$E$76,MATCH(A84,'Base GDP'!$A$1:$A$76,0),4)</f>
        <v>2233583.9807687998</v>
      </c>
      <c r="S84" s="336">
        <f>INDEX('Base GDP'!$A$1:$E$76,MATCH(A84,'Base GDP'!$A$1:$A$76,0),5)</f>
        <v>2928405.219999</v>
      </c>
      <c r="T84" s="335">
        <f t="shared" si="7"/>
        <v>4.6932696191265728E-3</v>
      </c>
      <c r="U84" s="335">
        <f t="shared" si="8"/>
        <v>6.1600998171988507E-3</v>
      </c>
      <c r="V84" s="335">
        <f t="shared" si="9"/>
        <v>1.4668301980722779E-3</v>
      </c>
    </row>
    <row r="85" spans="1:22" x14ac:dyDescent="0.45">
      <c r="A85" s="293" t="s">
        <v>118</v>
      </c>
      <c r="B85" s="297" t="s">
        <v>2</v>
      </c>
      <c r="C85" s="293" t="str">
        <f t="shared" si="5"/>
        <v>BelgiumManufacture of basic pharmaceutical products and pharmaceutical preparations (C21)</v>
      </c>
      <c r="D85" s="297" t="s">
        <v>958</v>
      </c>
      <c r="E85" s="298">
        <v>7279.5768622300002</v>
      </c>
      <c r="F85" s="298">
        <v>16945.699567780001</v>
      </c>
      <c r="G85" s="302">
        <v>1.3278412864492943</v>
      </c>
      <c r="H85" s="303">
        <v>3486.7447205299995</v>
      </c>
      <c r="I85" s="298">
        <v>7330.0055890599997</v>
      </c>
      <c r="J85" s="298">
        <v>16945.699567780001</v>
      </c>
      <c r="K85" s="302">
        <v>1.3118262819705597</v>
      </c>
      <c r="L85" s="298">
        <v>13445.980534030001</v>
      </c>
      <c r="M85" s="298">
        <v>16140.652236739999</v>
      </c>
      <c r="N85" s="298">
        <v>17750.576311870002</v>
      </c>
      <c r="O85" s="306">
        <v>23060.480592240001</v>
      </c>
      <c r="P85" s="306" cm="1">
        <f t="array" ref="P85">INDEX($E$2:$E$676, MATCH($B85, $B$2:$B$676, 0) * MATCH("Brazil", $A$2:$A$676, 0))</f>
        <v>12731.633698920001</v>
      </c>
      <c r="Q85" s="306">
        <f t="shared" si="6"/>
        <v>5452.0568366900006</v>
      </c>
      <c r="R85" s="336">
        <f>INDEX('Base GDP'!$A$1:$E$76,MATCH(A85,'Base GDP'!$A$1:$A$76,0),4)</f>
        <v>500331.50984029</v>
      </c>
      <c r="S85" s="336">
        <f>INDEX('Base GDP'!$A$1:$E$76,MATCH(A85,'Base GDP'!$A$1:$A$76,0),5)</f>
        <v>542439.84157398995</v>
      </c>
      <c r="T85" s="335">
        <f t="shared" si="7"/>
        <v>1.4650297742390437E-2</v>
      </c>
      <c r="U85" s="335">
        <f t="shared" si="8"/>
        <v>3.1239776780792698E-2</v>
      </c>
      <c r="V85" s="335">
        <f t="shared" si="9"/>
        <v>1.6589479038402261E-2</v>
      </c>
    </row>
    <row r="86" spans="1:22" x14ac:dyDescent="0.45">
      <c r="A86" s="293" t="s">
        <v>97</v>
      </c>
      <c r="B86" s="297" t="s">
        <v>2</v>
      </c>
      <c r="C86" s="293" t="str">
        <f t="shared" si="5"/>
        <v>FranceManufacture of basic pharmaceutical products and pharmaceutical preparations (C21)</v>
      </c>
      <c r="D86" s="297" t="s">
        <v>958</v>
      </c>
      <c r="E86" s="298">
        <v>10558.83834362</v>
      </c>
      <c r="F86" s="298">
        <v>15281.238281489999</v>
      </c>
      <c r="G86" s="302">
        <v>0.4472461632792617</v>
      </c>
      <c r="H86" s="303">
        <v>207.48323913999957</v>
      </c>
      <c r="I86" s="298">
        <v>11795.908806019999</v>
      </c>
      <c r="J86" s="298">
        <v>15281.238281489999</v>
      </c>
      <c r="K86" s="302">
        <v>0.29546934727837804</v>
      </c>
      <c r="L86" s="298">
        <v>15820.825101</v>
      </c>
      <c r="M86" s="298">
        <v>16880.967998190001</v>
      </c>
      <c r="N86" s="298">
        <v>17782.10933055</v>
      </c>
      <c r="O86" s="306">
        <v>20019.884593089999</v>
      </c>
      <c r="P86" s="306" cm="1">
        <f t="array" ref="P86">INDEX($E$2:$E$676, MATCH($B86, $B$2:$B$676, 0) * MATCH("Brazil", $A$2:$A$676, 0))</f>
        <v>12731.633698920001</v>
      </c>
      <c r="Q86" s="306">
        <f t="shared" si="6"/>
        <v>2172.7953553000007</v>
      </c>
      <c r="R86" s="336">
        <f>INDEX('Base GDP'!$A$1:$E$76,MATCH(A86,'Base GDP'!$A$1:$A$76,0),4)</f>
        <v>2544956.5086996001</v>
      </c>
      <c r="S86" s="336">
        <f>INDEX('Base GDP'!$A$1:$E$76,MATCH(A86,'Base GDP'!$A$1:$A$76,0),5)</f>
        <v>2682424.2983101001</v>
      </c>
      <c r="T86" s="335">
        <f t="shared" si="7"/>
        <v>4.6350139052267619E-3</v>
      </c>
      <c r="U86" s="335">
        <f t="shared" si="8"/>
        <v>5.6968013192830918E-3</v>
      </c>
      <c r="V86" s="335">
        <f t="shared" si="9"/>
        <v>1.0617874140563298E-3</v>
      </c>
    </row>
    <row r="87" spans="1:22" x14ac:dyDescent="0.45">
      <c r="A87" s="293" t="s">
        <v>116</v>
      </c>
      <c r="B87" s="297" t="s">
        <v>2</v>
      </c>
      <c r="C87" s="293" t="str">
        <f t="shared" si="5"/>
        <v>DenmarkManufacture of basic pharmaceutical products and pharmaceutical preparations (C21)</v>
      </c>
      <c r="D87" s="297" t="s">
        <v>958</v>
      </c>
      <c r="E87" s="298">
        <v>6235.8114001000004</v>
      </c>
      <c r="F87" s="298">
        <v>13912.6833924</v>
      </c>
      <c r="G87" s="302">
        <v>1.2310943195262274</v>
      </c>
      <c r="H87" s="303">
        <v>4530.5101826599994</v>
      </c>
      <c r="I87" s="298">
        <v>9151.8632171000008</v>
      </c>
      <c r="J87" s="298">
        <v>13912.6833924</v>
      </c>
      <c r="K87" s="302">
        <v>0.52020228694027471</v>
      </c>
      <c r="L87" s="298">
        <v>30950.667125690001</v>
      </c>
      <c r="M87" s="298">
        <v>34945.416666559999</v>
      </c>
      <c r="N87" s="298">
        <v>37820.054155869999</v>
      </c>
      <c r="O87" s="306">
        <v>43941.306646830002</v>
      </c>
      <c r="P87" s="306" cm="1">
        <f t="array" ref="P87">INDEX($E$2:$E$676, MATCH($B87, $B$2:$B$676, 0) * MATCH("Brazil", $A$2:$A$676, 0))</f>
        <v>12731.633698920001</v>
      </c>
      <c r="Q87" s="306">
        <f t="shared" si="6"/>
        <v>6495.8222988200005</v>
      </c>
      <c r="R87" s="336">
        <f>INDEX('Base GDP'!$A$1:$E$76,MATCH(A87,'Base GDP'!$A$1:$A$76,0),4)</f>
        <v>315318.76572541997</v>
      </c>
      <c r="S87" s="336">
        <f>INDEX('Base GDP'!$A$1:$E$76,MATCH(A87,'Base GDP'!$A$1:$A$76,0),5)</f>
        <v>361238.79673869</v>
      </c>
      <c r="T87" s="335">
        <f t="shared" si="7"/>
        <v>2.9024162884962755E-2</v>
      </c>
      <c r="U87" s="335">
        <f t="shared" si="8"/>
        <v>3.8513812796425753E-2</v>
      </c>
      <c r="V87" s="335">
        <f t="shared" si="9"/>
        <v>9.4896499114629981E-3</v>
      </c>
    </row>
    <row r="88" spans="1:22" x14ac:dyDescent="0.45">
      <c r="A88" s="293" t="s">
        <v>101</v>
      </c>
      <c r="B88" s="297" t="s">
        <v>2</v>
      </c>
      <c r="C88" s="293" t="str">
        <f t="shared" si="5"/>
        <v>ItalyManufacture of basic pharmaceutical products and pharmaceutical preparations (C21)</v>
      </c>
      <c r="D88" s="297" t="s">
        <v>958</v>
      </c>
      <c r="E88" s="298">
        <v>9356.0085162600008</v>
      </c>
      <c r="F88" s="298">
        <v>11163.44375215</v>
      </c>
      <c r="G88" s="302">
        <v>0.19318443679789521</v>
      </c>
      <c r="H88" s="303">
        <v>1410.313066499999</v>
      </c>
      <c r="I88" s="298">
        <v>10333.6586458</v>
      </c>
      <c r="J88" s="298">
        <v>11163.44375215</v>
      </c>
      <c r="K88" s="302">
        <v>8.029925651620573E-2</v>
      </c>
      <c r="L88" s="298">
        <v>13765.962600520001</v>
      </c>
      <c r="M88" s="298">
        <v>14633.53451096</v>
      </c>
      <c r="N88" s="298">
        <v>15298.958672000001</v>
      </c>
      <c r="O88" s="306">
        <v>16693.848960520001</v>
      </c>
      <c r="P88" s="306" cm="1">
        <f t="array" ref="P88">INDEX($E$2:$E$676, MATCH($B88, $B$2:$B$676, 0) * MATCH("Brazil", $A$2:$A$676, 0))</f>
        <v>12731.633698920001</v>
      </c>
      <c r="Q88" s="306">
        <f t="shared" si="6"/>
        <v>3375.6251826600001</v>
      </c>
      <c r="R88" s="336">
        <f>INDEX('Base GDP'!$A$1:$E$76,MATCH(A88,'Base GDP'!$A$1:$A$76,0),4)</f>
        <v>1924364.2462229</v>
      </c>
      <c r="S88" s="336">
        <f>INDEX('Base GDP'!$A$1:$E$76,MATCH(A88,'Base GDP'!$A$1:$A$76,0),5)</f>
        <v>1980878.3634254001</v>
      </c>
      <c r="T88" s="335">
        <f t="shared" si="7"/>
        <v>5.3699078363582562E-3</v>
      </c>
      <c r="U88" s="335">
        <f t="shared" si="8"/>
        <v>5.6356028508715728E-3</v>
      </c>
      <c r="V88" s="335">
        <f t="shared" si="9"/>
        <v>2.6569501451331658E-4</v>
      </c>
    </row>
    <row r="89" spans="1:22" x14ac:dyDescent="0.45">
      <c r="A89" s="293" t="s">
        <v>104</v>
      </c>
      <c r="B89" s="297" t="s">
        <v>2</v>
      </c>
      <c r="C89" s="293" t="str">
        <f t="shared" si="5"/>
        <v>South KoreaManufacture of basic pharmaceutical products and pharmaceutical preparations (C21)</v>
      </c>
      <c r="D89" s="297" t="s">
        <v>958</v>
      </c>
      <c r="E89" s="298">
        <v>4634.4569526699997</v>
      </c>
      <c r="F89" s="298">
        <v>8824.4976391399996</v>
      </c>
      <c r="G89" s="302">
        <v>0.90410607526649622</v>
      </c>
      <c r="H89" s="303">
        <v>6131.86463009</v>
      </c>
      <c r="I89" s="298">
        <v>6087.0801522000002</v>
      </c>
      <c r="J89" s="298">
        <v>8824.4976391399996</v>
      </c>
      <c r="K89" s="302">
        <v>0.44970945321799949</v>
      </c>
      <c r="L89" s="298">
        <v>11825.30256887</v>
      </c>
      <c r="M89" s="298">
        <v>13057.01390797</v>
      </c>
      <c r="N89" s="298">
        <v>13953.187890609999</v>
      </c>
      <c r="O89" s="306">
        <v>16124.18615496</v>
      </c>
      <c r="P89" s="306" cm="1">
        <f t="array" ref="P89">INDEX($E$2:$E$676, MATCH($B89, $B$2:$B$676, 0) * MATCH("Brazil", $A$2:$A$676, 0))</f>
        <v>12731.633698920001</v>
      </c>
      <c r="Q89" s="306">
        <f t="shared" si="6"/>
        <v>8097.1767462500011</v>
      </c>
      <c r="R89" s="336">
        <f>INDEX('Base GDP'!$A$1:$E$76,MATCH(A89,'Base GDP'!$A$1:$A$76,0),4)</f>
        <v>1478297.0807395</v>
      </c>
      <c r="S89" s="336">
        <f>INDEX('Base GDP'!$A$1:$E$76,MATCH(A89,'Base GDP'!$A$1:$A$76,0),5)</f>
        <v>1710728.7967964001</v>
      </c>
      <c r="T89" s="335">
        <f t="shared" si="7"/>
        <v>4.1176298265806037E-3</v>
      </c>
      <c r="U89" s="335">
        <f t="shared" si="8"/>
        <v>5.1583264721241692E-3</v>
      </c>
      <c r="V89" s="335">
        <f t="shared" si="9"/>
        <v>1.0406966455435655E-3</v>
      </c>
    </row>
    <row r="90" spans="1:22" x14ac:dyDescent="0.45">
      <c r="A90" s="293" t="s">
        <v>77</v>
      </c>
      <c r="B90" s="297" t="s">
        <v>2</v>
      </c>
      <c r="C90" s="293" t="str">
        <f t="shared" si="5"/>
        <v>SpainManufacture of basic pharmaceutical products and pharmaceutical preparations (C21)</v>
      </c>
      <c r="D90" s="297" t="s">
        <v>958</v>
      </c>
      <c r="E90" s="298">
        <v>5648.7957396499996</v>
      </c>
      <c r="F90" s="298">
        <v>8619.8904200500001</v>
      </c>
      <c r="G90" s="302">
        <v>0.52596957251353715</v>
      </c>
      <c r="H90" s="303">
        <v>5117.5258431100001</v>
      </c>
      <c r="I90" s="298">
        <v>8298.9085035700009</v>
      </c>
      <c r="J90" s="298">
        <v>8619.8904200500001</v>
      </c>
      <c r="K90" s="302">
        <v>3.8677606379431628E-2</v>
      </c>
      <c r="L90" s="298">
        <v>10114.40366813</v>
      </c>
      <c r="M90" s="298">
        <v>10990.84159675</v>
      </c>
      <c r="N90" s="298">
        <v>11553.612059450001</v>
      </c>
      <c r="O90" s="306">
        <v>12787.31077052</v>
      </c>
      <c r="P90" s="306" cm="1">
        <f t="array" ref="P90">INDEX($E$2:$E$676, MATCH($B90, $B$2:$B$676, 0) * MATCH("Brazil", $A$2:$A$676, 0))</f>
        <v>12731.633698920001</v>
      </c>
      <c r="Q90" s="306">
        <f t="shared" si="6"/>
        <v>7082.8379592700012</v>
      </c>
      <c r="R90" s="336">
        <f>INDEX('Base GDP'!$A$1:$E$76,MATCH(A90,'Base GDP'!$A$1:$A$76,0),4)</f>
        <v>1259732.1048611</v>
      </c>
      <c r="S90" s="336">
        <f>INDEX('Base GDP'!$A$1:$E$76,MATCH(A90,'Base GDP'!$A$1:$A$76,0),5)</f>
        <v>1317888.2673469</v>
      </c>
      <c r="T90" s="335">
        <f t="shared" si="7"/>
        <v>6.5878359942926528E-3</v>
      </c>
      <c r="U90" s="335">
        <f t="shared" si="8"/>
        <v>6.5406837845237735E-3</v>
      </c>
      <c r="V90" s="335">
        <f t="shared" si="9"/>
        <v>-4.7152209768879308E-5</v>
      </c>
    </row>
    <row r="91" spans="1:22" x14ac:dyDescent="0.45">
      <c r="A91" s="294" t="s">
        <v>18</v>
      </c>
      <c r="B91" s="299" t="s">
        <v>2</v>
      </c>
      <c r="C91" s="293" t="str">
        <f t="shared" si="5"/>
        <v>BrazilManufacture of basic pharmaceutical products and pharmaceutical preparations (C21)</v>
      </c>
      <c r="D91" s="297" t="s">
        <v>958</v>
      </c>
      <c r="E91" s="300">
        <v>10766.32158276</v>
      </c>
      <c r="F91" s="300">
        <v>8316.0853678900003</v>
      </c>
      <c r="G91" s="304">
        <v>-0.22758341333529708</v>
      </c>
      <c r="H91" s="305">
        <v>0</v>
      </c>
      <c r="I91" s="300">
        <v>8836.8574560199995</v>
      </c>
      <c r="J91" s="300">
        <v>8316.0853678900003</v>
      </c>
      <c r="K91" s="304">
        <v>-5.8931819452992307E-2</v>
      </c>
      <c r="L91" s="300">
        <v>9124.9390801999998</v>
      </c>
      <c r="M91" s="300">
        <v>10239.839784690001</v>
      </c>
      <c r="N91" s="300">
        <v>11103.42100391</v>
      </c>
      <c r="O91" s="307">
        <v>13209.626625209999</v>
      </c>
      <c r="P91" s="306" cm="1">
        <f t="array" ref="P91">INDEX($E$2:$E$676, MATCH($B91, $B$2:$B$676, 0) * MATCH("Brazil", $A$2:$A$676, 0))</f>
        <v>12731.633698920001</v>
      </c>
      <c r="Q91" s="306">
        <f t="shared" si="6"/>
        <v>1965.3121161600011</v>
      </c>
      <c r="R91" s="336">
        <f>INDEX('Base GDP'!$A$1:$E$76,MATCH(A91,'Base GDP'!$A$1:$A$76,0),4)</f>
        <v>1855726.8356911</v>
      </c>
      <c r="S91" s="336">
        <f>INDEX('Base GDP'!$A$1:$E$76,MATCH(A91,'Base GDP'!$A$1:$A$76,0),5)</f>
        <v>1898091.4722179</v>
      </c>
      <c r="T91" s="335">
        <f t="shared" si="7"/>
        <v>4.7619387110544335E-3</v>
      </c>
      <c r="U91" s="335">
        <f t="shared" si="8"/>
        <v>4.3812879882826417E-3</v>
      </c>
      <c r="V91" s="335">
        <f t="shared" si="9"/>
        <v>-3.8065072277179181E-4</v>
      </c>
    </row>
    <row r="92" spans="1:22" x14ac:dyDescent="0.45">
      <c r="A92" s="293" t="s">
        <v>74</v>
      </c>
      <c r="B92" s="297" t="s">
        <v>2</v>
      </c>
      <c r="C92" s="293" t="str">
        <f t="shared" si="5"/>
        <v>SwedenManufacture of basic pharmaceutical products and pharmaceutical preparations (C21)</v>
      </c>
      <c r="D92" s="297" t="s">
        <v>958</v>
      </c>
      <c r="E92" s="298">
        <v>6247.9916030100003</v>
      </c>
      <c r="F92" s="298">
        <v>6040.1121167700003</v>
      </c>
      <c r="G92" s="302">
        <v>-3.3271409350142722E-2</v>
      </c>
      <c r="H92" s="303">
        <v>4518.3299797499994</v>
      </c>
      <c r="I92" s="298">
        <v>5909.3978853899998</v>
      </c>
      <c r="J92" s="298">
        <v>6040.1121167700003</v>
      </c>
      <c r="K92" s="302">
        <v>2.2119720809994803E-2</v>
      </c>
      <c r="L92" s="298">
        <v>8003.4098618300004</v>
      </c>
      <c r="M92" s="298">
        <v>9114.5704114399996</v>
      </c>
      <c r="N92" s="298">
        <v>9978.9977513899994</v>
      </c>
      <c r="O92" s="306">
        <v>12177.955455060001</v>
      </c>
      <c r="P92" s="306" cm="1">
        <f t="array" ref="P92">INDEX($E$2:$E$676, MATCH($B92, $B$2:$B$676, 0) * MATCH("Brazil", $A$2:$A$676, 0))</f>
        <v>12731.633698920001</v>
      </c>
      <c r="Q92" s="306">
        <f t="shared" si="6"/>
        <v>6483.6420959100005</v>
      </c>
      <c r="R92" s="336">
        <f>INDEX('Base GDP'!$A$1:$E$76,MATCH(A92,'Base GDP'!$A$1:$A$76,0),4)</f>
        <v>490179.06760786998</v>
      </c>
      <c r="S92" s="336">
        <f>INDEX('Base GDP'!$A$1:$E$76,MATCH(A92,'Base GDP'!$A$1:$A$76,0),5)</f>
        <v>552840.30345001002</v>
      </c>
      <c r="T92" s="335">
        <f t="shared" si="7"/>
        <v>1.2055590040244963E-2</v>
      </c>
      <c r="U92" s="335">
        <f t="shared" si="8"/>
        <v>1.0925600176174874E-2</v>
      </c>
      <c r="V92" s="335">
        <f t="shared" si="9"/>
        <v>-1.1299898640700894E-3</v>
      </c>
    </row>
    <row r="93" spans="1:22" x14ac:dyDescent="0.45">
      <c r="A93" s="293" t="s">
        <v>121</v>
      </c>
      <c r="B93" s="297" t="s">
        <v>2</v>
      </c>
      <c r="C93" s="293" t="str">
        <f t="shared" si="5"/>
        <v>SingaporeManufacture of basic pharmaceutical products and pharmaceutical preparations (C21)</v>
      </c>
      <c r="D93" s="297" t="s">
        <v>958</v>
      </c>
      <c r="E93" s="298">
        <v>2530.50492489</v>
      </c>
      <c r="F93" s="298">
        <v>5769.8490217299995</v>
      </c>
      <c r="G93" s="302">
        <v>1.2801176812492523</v>
      </c>
      <c r="H93" s="303">
        <v>8235.8166578700002</v>
      </c>
      <c r="I93" s="298">
        <v>3444.02662887</v>
      </c>
      <c r="J93" s="298">
        <v>5769.8490217299995</v>
      </c>
      <c r="K93" s="302">
        <v>0.67532067649056238</v>
      </c>
      <c r="L93" s="298">
        <v>4840.4272943899996</v>
      </c>
      <c r="M93" s="298">
        <v>5455.4005054999998</v>
      </c>
      <c r="N93" s="298">
        <v>5953.8933650700001</v>
      </c>
      <c r="O93" s="306">
        <v>7010.9886862800004</v>
      </c>
      <c r="P93" s="306" cm="1">
        <f t="array" ref="P93">INDEX($E$2:$E$676, MATCH($B93, $B$2:$B$676, 0) * MATCH("Brazil", $A$2:$A$676, 0))</f>
        <v>12731.633698920001</v>
      </c>
      <c r="Q93" s="306">
        <f t="shared" si="6"/>
        <v>10201.128774030001</v>
      </c>
      <c r="R93" s="336">
        <f>INDEX('Base GDP'!$A$1:$E$76,MATCH(A93,'Base GDP'!$A$1:$A$76,0),4)</f>
        <v>331298.98374970001</v>
      </c>
      <c r="S93" s="336">
        <f>INDEX('Base GDP'!$A$1:$E$76,MATCH(A93,'Base GDP'!$A$1:$A$76,0),5)</f>
        <v>394237.177708</v>
      </c>
      <c r="T93" s="335">
        <f t="shared" si="7"/>
        <v>1.0395524278070226E-2</v>
      </c>
      <c r="U93" s="335">
        <f t="shared" si="8"/>
        <v>1.4635476682525256E-2</v>
      </c>
      <c r="V93" s="335">
        <f t="shared" si="9"/>
        <v>4.2399524044550302E-3</v>
      </c>
    </row>
    <row r="94" spans="1:22" x14ac:dyDescent="0.45">
      <c r="A94" s="293" t="s">
        <v>106</v>
      </c>
      <c r="B94" s="297" t="s">
        <v>2</v>
      </c>
      <c r="C94" s="293" t="str">
        <f t="shared" si="5"/>
        <v>RussiaManufacture of basic pharmaceutical products and pharmaceutical preparations (C21)</v>
      </c>
      <c r="D94" s="297" t="s">
        <v>958</v>
      </c>
      <c r="E94" s="298">
        <v>2682.2216788199999</v>
      </c>
      <c r="F94" s="298">
        <v>5398.5283522299997</v>
      </c>
      <c r="G94" s="302">
        <v>1.0127077470364028</v>
      </c>
      <c r="H94" s="303">
        <v>8084.0999039399994</v>
      </c>
      <c r="I94" s="298">
        <v>3091.3685665399998</v>
      </c>
      <c r="J94" s="298">
        <v>5398.5283522299997</v>
      </c>
      <c r="K94" s="302">
        <v>0.74632310448581607</v>
      </c>
      <c r="L94" s="298">
        <v>5321.7841836099997</v>
      </c>
      <c r="M94" s="298">
        <v>5720.54398941</v>
      </c>
      <c r="N94" s="298">
        <v>6021.5792145599999</v>
      </c>
      <c r="O94" s="306">
        <v>6652.6042069799996</v>
      </c>
      <c r="P94" s="306" cm="1">
        <f t="array" ref="P94">INDEX($E$2:$E$676, MATCH($B94, $B$2:$B$676, 0) * MATCH("Brazil", $A$2:$A$676, 0))</f>
        <v>12731.633698920001</v>
      </c>
      <c r="Q94" s="306">
        <f t="shared" si="6"/>
        <v>10049.412020100001</v>
      </c>
      <c r="R94" s="336">
        <f>INDEX('Base GDP'!$A$1:$E$76,MATCH(A94,'Base GDP'!$A$1:$A$76,0),4)</f>
        <v>1579786.0768998</v>
      </c>
      <c r="S94" s="336">
        <f>INDEX('Base GDP'!$A$1:$E$76,MATCH(A94,'Base GDP'!$A$1:$A$76,0),5)</f>
        <v>1741025.8573970001</v>
      </c>
      <c r="T94" s="335">
        <f t="shared" si="7"/>
        <v>1.9568273272838029E-3</v>
      </c>
      <c r="U94" s="335">
        <f t="shared" si="8"/>
        <v>3.1007743677634492E-3</v>
      </c>
      <c r="V94" s="335">
        <f t="shared" si="9"/>
        <v>1.1439470404796463E-3</v>
      </c>
    </row>
    <row r="95" spans="1:22" x14ac:dyDescent="0.45">
      <c r="A95" s="293" t="s">
        <v>99</v>
      </c>
      <c r="B95" s="297" t="s">
        <v>2</v>
      </c>
      <c r="C95" s="293" t="str">
        <f t="shared" si="5"/>
        <v>IndonesiaManufacture of basic pharmaceutical products and pharmaceutical preparations (C21)</v>
      </c>
      <c r="D95" s="297" t="s">
        <v>958</v>
      </c>
      <c r="E95" s="298">
        <v>2175.1028426299999</v>
      </c>
      <c r="F95" s="298">
        <v>5312.7440742899998</v>
      </c>
      <c r="G95" s="302">
        <v>1.442525461401245</v>
      </c>
      <c r="H95" s="303">
        <v>8591.2187401299998</v>
      </c>
      <c r="I95" s="298">
        <v>3435.23108847</v>
      </c>
      <c r="J95" s="298">
        <v>5312.7440742899998</v>
      </c>
      <c r="K95" s="302">
        <v>0.54654634214323439</v>
      </c>
      <c r="L95" s="298">
        <v>5769.6288693300003</v>
      </c>
      <c r="M95" s="298">
        <v>7212.08271668</v>
      </c>
      <c r="N95" s="298">
        <v>8476.7839437500006</v>
      </c>
      <c r="O95" s="306">
        <v>11949.10877465</v>
      </c>
      <c r="P95" s="306" cm="1">
        <f t="array" ref="P95">INDEX($E$2:$E$676, MATCH($B95, $B$2:$B$676, 0) * MATCH("Brazil", $A$2:$A$676, 0))</f>
        <v>12731.633698920001</v>
      </c>
      <c r="Q95" s="306">
        <f t="shared" si="6"/>
        <v>10556.530856290001</v>
      </c>
      <c r="R95" s="336">
        <f>INDEX('Base GDP'!$A$1:$E$76,MATCH(A95,'Base GDP'!$A$1:$A$76,0),4)</f>
        <v>917924.88667253999</v>
      </c>
      <c r="S95" s="336">
        <f>INDEX('Base GDP'!$A$1:$E$76,MATCH(A95,'Base GDP'!$A$1:$A$76,0),5)</f>
        <v>1136354.4627425</v>
      </c>
      <c r="T95" s="335">
        <f t="shared" si="7"/>
        <v>3.7423880083725003E-3</v>
      </c>
      <c r="U95" s="335">
        <f t="shared" si="8"/>
        <v>4.6752525276911568E-3</v>
      </c>
      <c r="V95" s="335">
        <f t="shared" si="9"/>
        <v>9.3286451931865648E-4</v>
      </c>
    </row>
    <row r="96" spans="1:22" x14ac:dyDescent="0.45">
      <c r="A96" s="293" t="s">
        <v>63</v>
      </c>
      <c r="B96" s="297" t="s">
        <v>2</v>
      </c>
      <c r="C96" s="293" t="str">
        <f t="shared" si="5"/>
        <v>CanadaManufacture of basic pharmaceutical products and pharmaceutical preparations (C21)</v>
      </c>
      <c r="D96" s="297" t="s">
        <v>958</v>
      </c>
      <c r="E96" s="298">
        <v>3330.00108955</v>
      </c>
      <c r="F96" s="298">
        <v>4400.64269178</v>
      </c>
      <c r="G96" s="302">
        <v>0.32151388946682924</v>
      </c>
      <c r="H96" s="303">
        <v>7436.3204932099998</v>
      </c>
      <c r="I96" s="298">
        <v>3618.02331366</v>
      </c>
      <c r="J96" s="298">
        <v>4400.64269178</v>
      </c>
      <c r="K96" s="302">
        <v>0.21631131429285921</v>
      </c>
      <c r="L96" s="298">
        <v>5215.2059005199999</v>
      </c>
      <c r="M96" s="298">
        <v>5651.5267874800002</v>
      </c>
      <c r="N96" s="298">
        <v>6000.0571171900001</v>
      </c>
      <c r="O96" s="306">
        <v>6961.5862485999996</v>
      </c>
      <c r="P96" s="306" cm="1">
        <f t="array" ref="P96">INDEX($E$2:$E$676, MATCH($B96, $B$2:$B$676, 0) * MATCH("Brazil", $A$2:$A$676, 0))</f>
        <v>12731.633698920001</v>
      </c>
      <c r="Q96" s="306">
        <f t="shared" si="6"/>
        <v>9401.6326093700009</v>
      </c>
      <c r="R96" s="336">
        <f>INDEX('Base GDP'!$A$1:$E$76,MATCH(A96,'Base GDP'!$A$1:$A$76,0),4)</f>
        <v>1599989.9756132001</v>
      </c>
      <c r="S96" s="336">
        <f>INDEX('Base GDP'!$A$1:$E$76,MATCH(A96,'Base GDP'!$A$1:$A$76,0),5)</f>
        <v>1743385.5162593001</v>
      </c>
      <c r="T96" s="335">
        <f t="shared" si="7"/>
        <v>2.2612787384954608E-3</v>
      </c>
      <c r="U96" s="335">
        <f t="shared" si="8"/>
        <v>2.5241936741692401E-3</v>
      </c>
      <c r="V96" s="335">
        <f t="shared" si="9"/>
        <v>2.6291493567377928E-4</v>
      </c>
    </row>
    <row r="97" spans="1:22" x14ac:dyDescent="0.45">
      <c r="A97" s="293" t="s">
        <v>75</v>
      </c>
      <c r="B97" s="297" t="s">
        <v>2</v>
      </c>
      <c r="C97" s="293" t="str">
        <f t="shared" si="5"/>
        <v>MexicoManufacture of basic pharmaceutical products and pharmaceutical preparations (C21)</v>
      </c>
      <c r="D97" s="297" t="s">
        <v>958</v>
      </c>
      <c r="E97" s="298">
        <v>4146.7319967000003</v>
      </c>
      <c r="F97" s="298">
        <v>4094.9454821899999</v>
      </c>
      <c r="G97" s="302">
        <v>-1.2488512532570883E-2</v>
      </c>
      <c r="H97" s="303">
        <v>6619.5895860599994</v>
      </c>
      <c r="I97" s="298">
        <v>3548.8291104899999</v>
      </c>
      <c r="J97" s="298">
        <v>4094.9454821899999</v>
      </c>
      <c r="K97" s="302">
        <v>0.15388635369500658</v>
      </c>
      <c r="L97" s="298">
        <v>5128.4923170000002</v>
      </c>
      <c r="M97" s="298">
        <v>5607.05671489</v>
      </c>
      <c r="N97" s="298">
        <v>5968.3277716000002</v>
      </c>
      <c r="O97" s="306">
        <v>6872.72340695</v>
      </c>
      <c r="P97" s="306" cm="1">
        <f t="array" ref="P97">INDEX($E$2:$E$676, MATCH($B97, $B$2:$B$676, 0) * MATCH("Brazil", $A$2:$A$676, 0))</f>
        <v>12731.633698920001</v>
      </c>
      <c r="Q97" s="306">
        <f t="shared" si="6"/>
        <v>8584.9017022200005</v>
      </c>
      <c r="R97" s="336">
        <f>INDEX('Base GDP'!$A$1:$E$76,MATCH(A97,'Base GDP'!$A$1:$A$76,0),4)</f>
        <v>1239119.2771185001</v>
      </c>
      <c r="S97" s="336">
        <f>INDEX('Base GDP'!$A$1:$E$76,MATCH(A97,'Base GDP'!$A$1:$A$76,0),5)</f>
        <v>1262038.2891611001</v>
      </c>
      <c r="T97" s="335">
        <f t="shared" si="7"/>
        <v>2.8639931409529806E-3</v>
      </c>
      <c r="U97" s="335">
        <f t="shared" si="8"/>
        <v>3.2447078011491911E-3</v>
      </c>
      <c r="V97" s="335">
        <f t="shared" si="9"/>
        <v>3.8071466019621051E-4</v>
      </c>
    </row>
    <row r="98" spans="1:22" x14ac:dyDescent="0.45">
      <c r="A98" s="293" t="s">
        <v>66</v>
      </c>
      <c r="B98" s="297" t="s">
        <v>2</v>
      </c>
      <c r="C98" s="293" t="str">
        <f t="shared" si="5"/>
        <v>NetherlandsManufacture of basic pharmaceutical products and pharmaceutical preparations (C21)</v>
      </c>
      <c r="D98" s="297" t="s">
        <v>958</v>
      </c>
      <c r="E98" s="298">
        <v>2116.2188464599999</v>
      </c>
      <c r="F98" s="298">
        <v>3673.2323740800002</v>
      </c>
      <c r="G98" s="302">
        <v>0.73575260433228107</v>
      </c>
      <c r="H98" s="303">
        <v>8650.1027362999994</v>
      </c>
      <c r="I98" s="298">
        <v>2951.9850245399998</v>
      </c>
      <c r="J98" s="298">
        <v>3673.2323740800002</v>
      </c>
      <c r="K98" s="302">
        <v>0.24432622237045076</v>
      </c>
      <c r="L98" s="298">
        <v>4426.7792557700004</v>
      </c>
      <c r="M98" s="298">
        <v>4859.6522971799996</v>
      </c>
      <c r="N98" s="298">
        <v>5180.2504547999997</v>
      </c>
      <c r="O98" s="306">
        <v>5962.0601440199998</v>
      </c>
      <c r="P98" s="306" cm="1">
        <f t="array" ref="P98">INDEX($E$2:$E$676, MATCH($B98, $B$2:$B$676, 0) * MATCH("Brazil", $A$2:$A$676, 0))</f>
        <v>12731.633698920001</v>
      </c>
      <c r="Q98" s="306">
        <f t="shared" si="6"/>
        <v>10615.41485246</v>
      </c>
      <c r="R98" s="336">
        <f>INDEX('Base GDP'!$A$1:$E$76,MATCH(A98,'Base GDP'!$A$1:$A$76,0),4)</f>
        <v>829203.89806390996</v>
      </c>
      <c r="S98" s="336">
        <f>INDEX('Base GDP'!$A$1:$E$76,MATCH(A98,'Base GDP'!$A$1:$A$76,0),5)</f>
        <v>928325.09368340997</v>
      </c>
      <c r="T98" s="335">
        <f t="shared" si="7"/>
        <v>3.560023091344029E-3</v>
      </c>
      <c r="U98" s="335">
        <f t="shared" si="8"/>
        <v>3.9568383953786515E-3</v>
      </c>
      <c r="V98" s="335">
        <f t="shared" si="9"/>
        <v>3.9681530403462258E-4</v>
      </c>
    </row>
    <row r="99" spans="1:22" x14ac:dyDescent="0.45">
      <c r="A99" s="293" t="s">
        <v>72</v>
      </c>
      <c r="B99" s="297" t="s">
        <v>2</v>
      </c>
      <c r="C99" s="293" t="str">
        <f t="shared" si="5"/>
        <v>AustriaManufacture of basic pharmaceutical products and pharmaceutical preparations (C21)</v>
      </c>
      <c r="D99" s="297" t="s">
        <v>958</v>
      </c>
      <c r="E99" s="298">
        <v>2103.5227040200002</v>
      </c>
      <c r="F99" s="298">
        <v>3086.8327909499999</v>
      </c>
      <c r="G99" s="302">
        <v>0.46745874672558352</v>
      </c>
      <c r="H99" s="303">
        <v>8662.7988787399991</v>
      </c>
      <c r="I99" s="298">
        <v>2732.2607567700002</v>
      </c>
      <c r="J99" s="298">
        <v>3086.8327909499999</v>
      </c>
      <c r="K99" s="302">
        <v>0.12977239939542384</v>
      </c>
      <c r="L99" s="298">
        <v>3900.9473029000001</v>
      </c>
      <c r="M99" s="298">
        <v>4266.7159217199996</v>
      </c>
      <c r="N99" s="298">
        <v>4530.0017162699996</v>
      </c>
      <c r="O99" s="306">
        <v>5091.5553670700001</v>
      </c>
      <c r="P99" s="306" cm="1">
        <f t="array" ref="P99">INDEX($E$2:$E$676, MATCH($B99, $B$2:$B$676, 0) * MATCH("Brazil", $A$2:$A$676, 0))</f>
        <v>12731.633698920001</v>
      </c>
      <c r="Q99" s="306">
        <f t="shared" si="6"/>
        <v>10628.1109949</v>
      </c>
      <c r="R99" s="336">
        <f>INDEX('Base GDP'!$A$1:$E$76,MATCH(A99,'Base GDP'!$A$1:$A$76,0),4)</f>
        <v>410010.85265116999</v>
      </c>
      <c r="S99" s="336">
        <f>INDEX('Base GDP'!$A$1:$E$76,MATCH(A99,'Base GDP'!$A$1:$A$76,0),5)</f>
        <v>432694.04992214998</v>
      </c>
      <c r="T99" s="335">
        <f t="shared" si="7"/>
        <v>6.6638742343109623E-3</v>
      </c>
      <c r="U99" s="335">
        <f t="shared" si="8"/>
        <v>7.1339848364112722E-3</v>
      </c>
      <c r="V99" s="335">
        <f t="shared" si="9"/>
        <v>4.7011060210030986E-4</v>
      </c>
    </row>
    <row r="100" spans="1:22" x14ac:dyDescent="0.45">
      <c r="A100" s="293" t="s">
        <v>120</v>
      </c>
      <c r="B100" s="297" t="s">
        <v>2</v>
      </c>
      <c r="C100" s="293" t="str">
        <f t="shared" si="5"/>
        <v>AustraliaManufacture of basic pharmaceutical products and pharmaceutical preparations (C21)</v>
      </c>
      <c r="D100" s="297" t="s">
        <v>958</v>
      </c>
      <c r="E100" s="298">
        <v>2258.4858798700002</v>
      </c>
      <c r="F100" s="298">
        <v>2841.1135146699999</v>
      </c>
      <c r="G100" s="302">
        <v>0.257972670979699</v>
      </c>
      <c r="H100" s="303">
        <v>8507.8357028899991</v>
      </c>
      <c r="I100" s="298">
        <v>2631.5730758599998</v>
      </c>
      <c r="J100" s="298">
        <v>2841.1135146699999</v>
      </c>
      <c r="K100" s="302">
        <v>7.9625544406180637E-2</v>
      </c>
      <c r="L100" s="298">
        <v>3169.7784158300001</v>
      </c>
      <c r="M100" s="298">
        <v>3522.71471737</v>
      </c>
      <c r="N100" s="298">
        <v>3767.8746927500001</v>
      </c>
      <c r="O100" s="306">
        <v>4362.9190371699997</v>
      </c>
      <c r="P100" s="306" cm="1">
        <f t="array" ref="P100">INDEX($E$2:$E$676, MATCH($B100, $B$2:$B$676, 0) * MATCH("Brazil", $A$2:$A$676, 0))</f>
        <v>12731.633698920001</v>
      </c>
      <c r="Q100" s="306">
        <f t="shared" si="6"/>
        <v>10473.14781905</v>
      </c>
      <c r="R100" s="336">
        <f>INDEX('Base GDP'!$A$1:$E$76,MATCH(A100,'Base GDP'!$A$1:$A$76,0),4)</f>
        <v>1256563.3075111001</v>
      </c>
      <c r="S100" s="336">
        <f>INDEX('Base GDP'!$A$1:$E$76,MATCH(A100,'Base GDP'!$A$1:$A$76,0),5)</f>
        <v>1430586.2916371</v>
      </c>
      <c r="T100" s="335">
        <f t="shared" si="7"/>
        <v>2.0942622310629209E-3</v>
      </c>
      <c r="U100" s="335">
        <f t="shared" si="8"/>
        <v>1.9859784280602567E-3</v>
      </c>
      <c r="V100" s="335">
        <f t="shared" si="9"/>
        <v>-1.0828380300266418E-4</v>
      </c>
    </row>
    <row r="101" spans="1:22" x14ac:dyDescent="0.45">
      <c r="A101" s="293" t="s">
        <v>108</v>
      </c>
      <c r="B101" s="297" t="s">
        <v>2</v>
      </c>
      <c r="C101" s="293" t="str">
        <f t="shared" si="5"/>
        <v>TurkeyManufacture of basic pharmaceutical products and pharmaceutical preparations (C21)</v>
      </c>
      <c r="D101" s="297" t="s">
        <v>958</v>
      </c>
      <c r="E101" s="298">
        <v>1004.85303615</v>
      </c>
      <c r="F101" s="298">
        <v>2600.2983073199998</v>
      </c>
      <c r="G101" s="302">
        <v>1.5877399119803615</v>
      </c>
      <c r="H101" s="303">
        <v>9761.46854661</v>
      </c>
      <c r="I101" s="298">
        <v>1639.44008156</v>
      </c>
      <c r="J101" s="298">
        <v>2600.2983073199998</v>
      </c>
      <c r="K101" s="302">
        <v>0.58608926094188241</v>
      </c>
      <c r="L101" s="298">
        <v>3324.3453313800001</v>
      </c>
      <c r="M101" s="298">
        <v>3874.1883344100002</v>
      </c>
      <c r="N101" s="298">
        <v>4351.8521267400001</v>
      </c>
      <c r="O101" s="306">
        <v>5836.8021825599999</v>
      </c>
      <c r="P101" s="306" cm="1">
        <f t="array" ref="P101">INDEX($E$2:$E$676, MATCH($B101, $B$2:$B$676, 0) * MATCH("Brazil", $A$2:$A$676, 0))</f>
        <v>12731.633698920001</v>
      </c>
      <c r="Q101" s="306">
        <f t="shared" si="6"/>
        <v>11726.780662770001</v>
      </c>
      <c r="R101" s="336">
        <f>INDEX('Base GDP'!$A$1:$E$76,MATCH(A101,'Base GDP'!$A$1:$A$76,0),4)</f>
        <v>659235.83503077005</v>
      </c>
      <c r="S101" s="336">
        <f>INDEX('Base GDP'!$A$1:$E$76,MATCH(A101,'Base GDP'!$A$1:$A$76,0),5)</f>
        <v>865088.75381619995</v>
      </c>
      <c r="T101" s="335">
        <f t="shared" si="7"/>
        <v>2.4868794965969632E-3</v>
      </c>
      <c r="U101" s="335">
        <f t="shared" si="8"/>
        <v>3.005816797235199E-3</v>
      </c>
      <c r="V101" s="335">
        <f t="shared" si="9"/>
        <v>5.1893730063823579E-4</v>
      </c>
    </row>
    <row r="102" spans="1:22" x14ac:dyDescent="0.45">
      <c r="A102" s="293" t="s">
        <v>112</v>
      </c>
      <c r="B102" s="297" t="s">
        <v>2</v>
      </c>
      <c r="C102" s="293" t="str">
        <f t="shared" si="5"/>
        <v>PolandManufacture of basic pharmaceutical products and pharmaceutical preparations (C21)</v>
      </c>
      <c r="D102" s="297" t="s">
        <v>958</v>
      </c>
      <c r="E102" s="298">
        <v>1788.29141637</v>
      </c>
      <c r="F102" s="298">
        <v>2552.7477281699998</v>
      </c>
      <c r="G102" s="302">
        <v>0.42747860041275998</v>
      </c>
      <c r="H102" s="303">
        <v>8978.0301663899991</v>
      </c>
      <c r="I102" s="298">
        <v>1568.8027664399999</v>
      </c>
      <c r="J102" s="298">
        <v>2552.7477281699998</v>
      </c>
      <c r="K102" s="302">
        <v>0.62719481554893841</v>
      </c>
      <c r="L102" s="298">
        <v>3551.80139242</v>
      </c>
      <c r="M102" s="298">
        <v>4016.72206263</v>
      </c>
      <c r="N102" s="298">
        <v>4298.87703229</v>
      </c>
      <c r="O102" s="306">
        <v>4724.5483389800002</v>
      </c>
      <c r="P102" s="306" cm="1">
        <f t="array" ref="P102">INDEX($E$2:$E$676, MATCH($B102, $B$2:$B$676, 0) * MATCH("Brazil", $A$2:$A$676, 0))</f>
        <v>12731.633698920001</v>
      </c>
      <c r="Q102" s="306">
        <f t="shared" si="6"/>
        <v>10943.34228255</v>
      </c>
      <c r="R102" s="336">
        <f>INDEX('Base GDP'!$A$1:$E$76,MATCH(A102,'Base GDP'!$A$1:$A$76,0),4)</f>
        <v>496555.53410177003</v>
      </c>
      <c r="S102" s="336">
        <f>INDEX('Base GDP'!$A$1:$E$76,MATCH(A102,'Base GDP'!$A$1:$A$76,0),5)</f>
        <v>623108.57565016998</v>
      </c>
      <c r="T102" s="335">
        <f t="shared" si="7"/>
        <v>3.159370218837337E-3</v>
      </c>
      <c r="U102" s="335">
        <f t="shared" si="8"/>
        <v>4.0967944077906276E-3</v>
      </c>
      <c r="V102" s="335">
        <f t="shared" si="9"/>
        <v>9.3742418895329058E-4</v>
      </c>
    </row>
    <row r="103" spans="1:22" x14ac:dyDescent="0.45">
      <c r="A103" s="293" t="s">
        <v>154</v>
      </c>
      <c r="B103" s="297" t="s">
        <v>2</v>
      </c>
      <c r="C103" s="293" t="str">
        <f t="shared" si="5"/>
        <v>PakistanManufacture of basic pharmaceutical products and pharmaceutical preparations (C21)</v>
      </c>
      <c r="D103" s="297" t="s">
        <v>958</v>
      </c>
      <c r="E103" s="298">
        <v>1289.00174279</v>
      </c>
      <c r="F103" s="298">
        <v>2309.16738295</v>
      </c>
      <c r="G103" s="302">
        <v>0.79143852664767289</v>
      </c>
      <c r="H103" s="303">
        <v>9477.3198399699995</v>
      </c>
      <c r="I103" s="298">
        <v>1683.04546392</v>
      </c>
      <c r="J103" s="298">
        <v>2309.16738295</v>
      </c>
      <c r="K103" s="302">
        <v>0.37201723450279989</v>
      </c>
      <c r="L103" s="298">
        <v>2601.0848229500002</v>
      </c>
      <c r="M103" s="298">
        <v>3186.3509891600002</v>
      </c>
      <c r="N103" s="298">
        <v>3647.8643506600001</v>
      </c>
      <c r="O103" s="306">
        <v>4983.6232497000001</v>
      </c>
      <c r="P103" s="306" cm="1">
        <f t="array" ref="P103">INDEX($E$2:$E$676, MATCH($B103, $B$2:$B$676, 0) * MATCH("Brazil", $A$2:$A$676, 0))</f>
        <v>12731.633698920001</v>
      </c>
      <c r="Q103" s="306">
        <f t="shared" si="6"/>
        <v>11442.631956130001</v>
      </c>
      <c r="R103" s="336">
        <f>INDEX('Base GDP'!$A$1:$E$76,MATCH(A103,'Base GDP'!$A$1:$A$76,0),4)</f>
        <v>243681.57424943999</v>
      </c>
      <c r="S103" s="336">
        <f>INDEX('Base GDP'!$A$1:$E$76,MATCH(A103,'Base GDP'!$A$1:$A$76,0),5)</f>
        <v>307178.14587732003</v>
      </c>
      <c r="T103" s="335">
        <f t="shared" si="7"/>
        <v>6.9067407706303744E-3</v>
      </c>
      <c r="U103" s="335">
        <f t="shared" si="8"/>
        <v>7.5173556906363674E-3</v>
      </c>
      <c r="V103" s="335">
        <f t="shared" si="9"/>
        <v>6.1061492000599304E-4</v>
      </c>
    </row>
    <row r="104" spans="1:22" x14ac:dyDescent="0.45">
      <c r="A104" s="293" t="s">
        <v>146</v>
      </c>
      <c r="B104" s="297" t="s">
        <v>2</v>
      </c>
      <c r="C104" s="293" t="str">
        <f t="shared" si="5"/>
        <v>EgyptManufacture of basic pharmaceutical products and pharmaceutical preparations (C21)</v>
      </c>
      <c r="D104" s="297" t="s">
        <v>958</v>
      </c>
      <c r="E104" s="298">
        <v>1857.7191740599999</v>
      </c>
      <c r="F104" s="298">
        <v>2079.9295122200001</v>
      </c>
      <c r="G104" s="302">
        <v>0.1196146012071162</v>
      </c>
      <c r="H104" s="303">
        <v>8908.6024087000005</v>
      </c>
      <c r="I104" s="298">
        <v>2318.0481391399999</v>
      </c>
      <c r="J104" s="298">
        <v>2079.9295122200001</v>
      </c>
      <c r="K104" s="302">
        <v>-0.10272376267748362</v>
      </c>
      <c r="L104" s="298">
        <v>2110.24424236</v>
      </c>
      <c r="M104" s="298">
        <v>2485.64359887</v>
      </c>
      <c r="N104" s="298">
        <v>2767.9846299300002</v>
      </c>
      <c r="O104" s="306">
        <v>3576.0283660300001</v>
      </c>
      <c r="P104" s="306" cm="1">
        <f t="array" ref="P104">INDEX($E$2:$E$676, MATCH($B104, $B$2:$B$676, 0) * MATCH("Brazil", $A$2:$A$676, 0))</f>
        <v>12731.633698920001</v>
      </c>
      <c r="Q104" s="306">
        <f t="shared" si="6"/>
        <v>10873.914524860002</v>
      </c>
      <c r="R104" s="336">
        <f>INDEX('Base GDP'!$A$1:$E$76,MATCH(A104,'Base GDP'!$A$1:$A$76,0),4)</f>
        <v>276522.47435759002</v>
      </c>
      <c r="S104" s="336">
        <f>INDEX('Base GDP'!$A$1:$E$76,MATCH(A104,'Base GDP'!$A$1:$A$76,0),5)</f>
        <v>357883.01385108999</v>
      </c>
      <c r="T104" s="335">
        <f t="shared" si="7"/>
        <v>8.3828562019243845E-3</v>
      </c>
      <c r="U104" s="335">
        <f t="shared" si="8"/>
        <v>5.8117581212877266E-3</v>
      </c>
      <c r="V104" s="335">
        <f t="shared" si="9"/>
        <v>-2.5710980806366579E-3</v>
      </c>
    </row>
    <row r="105" spans="1:22" x14ac:dyDescent="0.45">
      <c r="A105" s="293" t="s">
        <v>73</v>
      </c>
      <c r="B105" s="297" t="s">
        <v>2</v>
      </c>
      <c r="C105" s="293" t="str">
        <f t="shared" si="5"/>
        <v>TaiwanManufacture of basic pharmaceutical products and pharmaceutical preparations (C21)</v>
      </c>
      <c r="D105" s="297" t="s">
        <v>958</v>
      </c>
      <c r="E105" s="298">
        <v>1202.4355510800001</v>
      </c>
      <c r="F105" s="298">
        <v>1995.51413376</v>
      </c>
      <c r="G105" s="302">
        <v>0.65956015851966021</v>
      </c>
      <c r="H105" s="303">
        <v>9563.8860316800001</v>
      </c>
      <c r="I105" s="298">
        <v>1350.1813579899999</v>
      </c>
      <c r="J105" s="298">
        <v>1995.51413376</v>
      </c>
      <c r="K105" s="302">
        <v>0.47796006954998993</v>
      </c>
      <c r="L105" s="298">
        <v>2374.5979309499999</v>
      </c>
      <c r="M105" s="298">
        <v>2538.02105811</v>
      </c>
      <c r="N105" s="298">
        <v>2661.9663604699999</v>
      </c>
      <c r="O105" s="306">
        <v>2979.1108104800001</v>
      </c>
      <c r="P105" s="306" cm="1">
        <f t="array" ref="P105">INDEX($E$2:$E$676, MATCH($B105, $B$2:$B$676, 0) * MATCH("Brazil", $A$2:$A$676, 0))</f>
        <v>12731.633698920001</v>
      </c>
      <c r="Q105" s="306">
        <f t="shared" si="6"/>
        <v>11529.198147840001</v>
      </c>
      <c r="R105" s="336">
        <f>INDEX('Base GDP'!$A$1:$E$76,MATCH(A105,'Base GDP'!$A$1:$A$76,0),4)</f>
        <v>546880.06131035998</v>
      </c>
      <c r="S105" s="336">
        <f>INDEX('Base GDP'!$A$1:$E$76,MATCH(A105,'Base GDP'!$A$1:$A$76,0),5)</f>
        <v>674049.24440882006</v>
      </c>
      <c r="T105" s="335">
        <f t="shared" si="7"/>
        <v>2.4688802052041871E-3</v>
      </c>
      <c r="U105" s="335">
        <f t="shared" si="8"/>
        <v>2.9604871607120942E-3</v>
      </c>
      <c r="V105" s="335">
        <f t="shared" si="9"/>
        <v>4.9160695550790707E-4</v>
      </c>
    </row>
    <row r="106" spans="1:22" x14ac:dyDescent="0.45">
      <c r="A106" s="293" t="s">
        <v>126</v>
      </c>
      <c r="B106" s="297" t="s">
        <v>2</v>
      </c>
      <c r="C106" s="293" t="str">
        <f t="shared" si="5"/>
        <v>FinlandManufacture of basic pharmaceutical products and pharmaceutical preparations (C21)</v>
      </c>
      <c r="D106" s="297" t="s">
        <v>958</v>
      </c>
      <c r="E106" s="298">
        <v>1135.54283547</v>
      </c>
      <c r="F106" s="298">
        <v>1989.6219983999999</v>
      </c>
      <c r="G106" s="302">
        <v>0.75213293259562275</v>
      </c>
      <c r="H106" s="303">
        <v>9630.77874729</v>
      </c>
      <c r="I106" s="298">
        <v>1553.8385642799999</v>
      </c>
      <c r="J106" s="298">
        <v>1989.6219983999999</v>
      </c>
      <c r="K106" s="302">
        <v>0.28045605517708871</v>
      </c>
      <c r="L106" s="298">
        <v>1990.83880845</v>
      </c>
      <c r="M106" s="298">
        <v>2165.9940340200001</v>
      </c>
      <c r="N106" s="298">
        <v>2291.1025281500001</v>
      </c>
      <c r="O106" s="306">
        <v>2595.5401366800002</v>
      </c>
      <c r="P106" s="306" cm="1">
        <f t="array" ref="P106">INDEX($E$2:$E$676, MATCH($B106, $B$2:$B$676, 0) * MATCH("Brazil", $A$2:$A$676, 0))</f>
        <v>12731.633698920001</v>
      </c>
      <c r="Q106" s="306">
        <f t="shared" si="6"/>
        <v>11596.090863450001</v>
      </c>
      <c r="R106" s="336">
        <f>INDEX('Base GDP'!$A$1:$E$76,MATCH(A106,'Base GDP'!$A$1:$A$76,0),4)</f>
        <v>247207.29862345001</v>
      </c>
      <c r="S106" s="336">
        <f>INDEX('Base GDP'!$A$1:$E$76,MATCH(A106,'Base GDP'!$A$1:$A$76,0),5)</f>
        <v>270499.52733732999</v>
      </c>
      <c r="T106" s="335">
        <f t="shared" si="7"/>
        <v>6.2855691273372592E-3</v>
      </c>
      <c r="U106" s="335">
        <f t="shared" si="8"/>
        <v>7.3553621996493021E-3</v>
      </c>
      <c r="V106" s="335">
        <f t="shared" si="9"/>
        <v>1.0697930723120429E-3</v>
      </c>
    </row>
    <row r="107" spans="1:22" x14ac:dyDescent="0.45">
      <c r="A107" s="293" t="s">
        <v>124</v>
      </c>
      <c r="B107" s="297" t="s">
        <v>2</v>
      </c>
      <c r="C107" s="293" t="str">
        <f t="shared" si="5"/>
        <v>BangladeshManufacture of basic pharmaceutical products and pharmaceutical preparations (C21)</v>
      </c>
      <c r="D107" s="297" t="s">
        <v>958</v>
      </c>
      <c r="E107" s="298">
        <v>418.67203196999998</v>
      </c>
      <c r="F107" s="298">
        <v>1927.74077949</v>
      </c>
      <c r="G107" s="302">
        <v>3.6044173775336699</v>
      </c>
      <c r="H107" s="303">
        <v>10347.64955079</v>
      </c>
      <c r="I107" s="298">
        <v>672.17707839000002</v>
      </c>
      <c r="J107" s="298">
        <v>1927.74077949</v>
      </c>
      <c r="K107" s="302">
        <v>1.8679061536988568</v>
      </c>
      <c r="L107" s="298">
        <v>2094.3564848300002</v>
      </c>
      <c r="M107" s="298">
        <v>2794.7452441099999</v>
      </c>
      <c r="N107" s="298">
        <v>3402.7273353099999</v>
      </c>
      <c r="O107" s="306">
        <v>5117.2370395500002</v>
      </c>
      <c r="P107" s="306" cm="1">
        <f t="array" ref="P107">INDEX($E$2:$E$676, MATCH($B107, $B$2:$B$676, 0) * MATCH("Brazil", $A$2:$A$676, 0))</f>
        <v>12731.633698920001</v>
      </c>
      <c r="Q107" s="306">
        <f t="shared" si="6"/>
        <v>12312.961666950001</v>
      </c>
      <c r="R107" s="336">
        <f>INDEX('Base GDP'!$A$1:$E$76,MATCH(A107,'Base GDP'!$A$1:$A$76,0),4)</f>
        <v>264392.25455249997</v>
      </c>
      <c r="S107" s="336">
        <f>INDEX('Base GDP'!$A$1:$E$76,MATCH(A107,'Base GDP'!$A$1:$A$76,0),5)</f>
        <v>386628.84638325998</v>
      </c>
      <c r="T107" s="335">
        <f t="shared" si="7"/>
        <v>2.5423478442199478E-3</v>
      </c>
      <c r="U107" s="335">
        <f t="shared" si="8"/>
        <v>4.9860241870805892E-3</v>
      </c>
      <c r="V107" s="335">
        <f t="shared" si="9"/>
        <v>2.4436763428606414E-3</v>
      </c>
    </row>
    <row r="108" spans="1:22" x14ac:dyDescent="0.45">
      <c r="A108" s="293" t="s">
        <v>123</v>
      </c>
      <c r="B108" s="297" t="s">
        <v>2</v>
      </c>
      <c r="C108" s="293" t="str">
        <f t="shared" si="5"/>
        <v>IsraelManufacture of basic pharmaceutical products and pharmaceutical preparations (C21)</v>
      </c>
      <c r="D108" s="297" t="s">
        <v>958</v>
      </c>
      <c r="E108" s="298">
        <v>2734.5951124399999</v>
      </c>
      <c r="F108" s="298">
        <v>1833.06603625</v>
      </c>
      <c r="G108" s="302">
        <v>-0.32967552384220844</v>
      </c>
      <c r="H108" s="303">
        <v>8031.7264703199999</v>
      </c>
      <c r="I108" s="298">
        <v>2961.52365401</v>
      </c>
      <c r="J108" s="298">
        <v>1833.06603625</v>
      </c>
      <c r="K108" s="302">
        <v>-0.38103954234234505</v>
      </c>
      <c r="L108" s="298">
        <v>2009.74165522</v>
      </c>
      <c r="M108" s="298">
        <v>2185.40539537</v>
      </c>
      <c r="N108" s="298">
        <v>2320.2313982000001</v>
      </c>
      <c r="O108" s="306">
        <v>2680.0991943899999</v>
      </c>
      <c r="P108" s="306" cm="1">
        <f t="array" ref="P108">INDEX($E$2:$E$676, MATCH($B108, $B$2:$B$676, 0) * MATCH("Brazil", $A$2:$A$676, 0))</f>
        <v>12731.633698920001</v>
      </c>
      <c r="Q108" s="306">
        <f t="shared" si="6"/>
        <v>9997.038586480001</v>
      </c>
      <c r="R108" s="336">
        <f>INDEX('Base GDP'!$A$1:$E$76,MATCH(A108,'Base GDP'!$A$1:$A$76,0),4)</f>
        <v>339252.33917334001</v>
      </c>
      <c r="S108" s="336">
        <f>INDEX('Base GDP'!$A$1:$E$76,MATCH(A108,'Base GDP'!$A$1:$A$76,0),5)</f>
        <v>430314.68651226</v>
      </c>
      <c r="T108" s="335">
        <f t="shared" si="7"/>
        <v>8.7295600119556369E-3</v>
      </c>
      <c r="U108" s="335">
        <f t="shared" si="8"/>
        <v>4.2598268051392075E-3</v>
      </c>
      <c r="V108" s="335">
        <f t="shared" si="9"/>
        <v>-4.4697332068164295E-3</v>
      </c>
    </row>
    <row r="109" spans="1:22" x14ac:dyDescent="0.45">
      <c r="A109" s="293" t="s">
        <v>113</v>
      </c>
      <c r="B109" s="297" t="s">
        <v>2</v>
      </c>
      <c r="C109" s="293" t="str">
        <f t="shared" si="5"/>
        <v>HungaryManufacture of basic pharmaceutical products and pharmaceutical preparations (C21)</v>
      </c>
      <c r="D109" s="297" t="s">
        <v>958</v>
      </c>
      <c r="E109" s="298">
        <v>1950.57287253</v>
      </c>
      <c r="F109" s="298">
        <v>1707.79984276</v>
      </c>
      <c r="G109" s="302">
        <v>-0.12446242495678206</v>
      </c>
      <c r="H109" s="303">
        <v>8815.7487102300001</v>
      </c>
      <c r="I109" s="298">
        <v>1614.5796975400001</v>
      </c>
      <c r="J109" s="298">
        <v>1707.79984276</v>
      </c>
      <c r="K109" s="302">
        <v>5.7736478020893989E-2</v>
      </c>
      <c r="L109" s="298">
        <v>1828.47625232</v>
      </c>
      <c r="M109" s="298">
        <v>1949.82311626</v>
      </c>
      <c r="N109" s="298">
        <v>2177.7699182699998</v>
      </c>
      <c r="O109" s="306">
        <v>2423.0836081699999</v>
      </c>
      <c r="P109" s="306" cm="1">
        <f t="array" ref="P109">INDEX($E$2:$E$676, MATCH($B109, $B$2:$B$676, 0) * MATCH("Brazil", $A$2:$A$676, 0))</f>
        <v>12731.633698920001</v>
      </c>
      <c r="Q109" s="306">
        <f t="shared" si="6"/>
        <v>10781.060826390001</v>
      </c>
      <c r="R109" s="336">
        <f>INDEX('Base GDP'!$A$1:$E$76,MATCH(A109,'Base GDP'!$A$1:$A$76,0),4)</f>
        <v>139098.07965294999</v>
      </c>
      <c r="S109" s="336">
        <f>INDEX('Base GDP'!$A$1:$E$76,MATCH(A109,'Base GDP'!$A$1:$A$76,0),5)</f>
        <v>167320.49519441</v>
      </c>
      <c r="T109" s="335">
        <f t="shared" si="7"/>
        <v>1.1607490927037813E-2</v>
      </c>
      <c r="U109" s="335">
        <f t="shared" si="8"/>
        <v>1.0206758238288167E-2</v>
      </c>
      <c r="V109" s="335">
        <f t="shared" si="9"/>
        <v>-1.4007326887496459E-3</v>
      </c>
    </row>
    <row r="110" spans="1:22" x14ac:dyDescent="0.45">
      <c r="A110" s="293" t="s">
        <v>142</v>
      </c>
      <c r="B110" s="297" t="s">
        <v>2</v>
      </c>
      <c r="C110" s="293" t="str">
        <f t="shared" si="5"/>
        <v>ArgentinaManufacture of basic pharmaceutical products and pharmaceutical preparations (C21)</v>
      </c>
      <c r="D110" s="297" t="s">
        <v>958</v>
      </c>
      <c r="E110" s="298">
        <v>1436.8978855400001</v>
      </c>
      <c r="F110" s="298">
        <v>1488.8667477199999</v>
      </c>
      <c r="G110" s="302">
        <v>3.6167401109696407E-2</v>
      </c>
      <c r="H110" s="303">
        <v>9329.4236972199997</v>
      </c>
      <c r="I110" s="298">
        <v>1474.7957129700001</v>
      </c>
      <c r="J110" s="298">
        <v>1488.8667477199999</v>
      </c>
      <c r="K110" s="302">
        <v>9.5410060025622467E-3</v>
      </c>
      <c r="L110" s="298">
        <v>1498.0981312599999</v>
      </c>
      <c r="M110" s="298">
        <v>1689.76467869</v>
      </c>
      <c r="N110" s="298">
        <v>1851.4332528699999</v>
      </c>
      <c r="O110" s="306">
        <v>2322.9503004799999</v>
      </c>
      <c r="P110" s="306" cm="1">
        <f t="array" ref="P110">INDEX($E$2:$E$676, MATCH($B110, $B$2:$B$676, 0) * MATCH("Brazil", $A$2:$A$676, 0))</f>
        <v>12731.633698920001</v>
      </c>
      <c r="Q110" s="306">
        <f t="shared" si="6"/>
        <v>11294.735813380001</v>
      </c>
      <c r="R110" s="336">
        <f>INDEX('Base GDP'!$A$1:$E$76,MATCH(A110,'Base GDP'!$A$1:$A$76,0),4)</f>
        <v>464976.94374428003</v>
      </c>
      <c r="S110" s="336">
        <f>INDEX('Base GDP'!$A$1:$E$76,MATCH(A110,'Base GDP'!$A$1:$A$76,0),5)</f>
        <v>445673.70595729002</v>
      </c>
      <c r="T110" s="335">
        <f t="shared" si="7"/>
        <v>3.1717609503259213E-3</v>
      </c>
      <c r="U110" s="335">
        <f t="shared" si="8"/>
        <v>3.3407103174776069E-3</v>
      </c>
      <c r="V110" s="335">
        <f t="shared" si="9"/>
        <v>1.6894936715168563E-4</v>
      </c>
    </row>
    <row r="111" spans="1:22" x14ac:dyDescent="0.45">
      <c r="A111" s="293" t="s">
        <v>152</v>
      </c>
      <c r="B111" s="297" t="s">
        <v>2</v>
      </c>
      <c r="C111" s="293" t="str">
        <f t="shared" si="5"/>
        <v>ColombiaManufacture of basic pharmaceutical products and pharmaceutical preparations (C21)</v>
      </c>
      <c r="D111" s="297" t="s">
        <v>958</v>
      </c>
      <c r="E111" s="298">
        <v>1096.68314487</v>
      </c>
      <c r="F111" s="298">
        <v>1389.24959988</v>
      </c>
      <c r="G111" s="302">
        <v>0.26677391403209771</v>
      </c>
      <c r="H111" s="303">
        <v>9669.6384378900002</v>
      </c>
      <c r="I111" s="298">
        <v>1242.25986048</v>
      </c>
      <c r="J111" s="298">
        <v>1389.24959988</v>
      </c>
      <c r="K111" s="302">
        <v>0.11832446984417921</v>
      </c>
      <c r="L111" s="298">
        <v>1620.8282295199999</v>
      </c>
      <c r="M111" s="298">
        <v>1812.98341325</v>
      </c>
      <c r="N111" s="298">
        <v>1974.6689062099999</v>
      </c>
      <c r="O111" s="306">
        <v>2414.70179676</v>
      </c>
      <c r="P111" s="306" cm="1">
        <f t="array" ref="P111">INDEX($E$2:$E$676, MATCH($B111, $B$2:$B$676, 0) * MATCH("Brazil", $A$2:$A$676, 0))</f>
        <v>12731.633698920001</v>
      </c>
      <c r="Q111" s="306">
        <f t="shared" si="6"/>
        <v>11634.950554050001</v>
      </c>
      <c r="R111" s="336">
        <f>INDEX('Base GDP'!$A$1:$E$76,MATCH(A111,'Base GDP'!$A$1:$A$76,0),4)</f>
        <v>295018.32730579999</v>
      </c>
      <c r="S111" s="336">
        <f>INDEX('Base GDP'!$A$1:$E$76,MATCH(A111,'Base GDP'!$A$1:$A$76,0),5)</f>
        <v>332655.81031924998</v>
      </c>
      <c r="T111" s="335">
        <f t="shared" si="7"/>
        <v>4.210788773106767E-3</v>
      </c>
      <c r="U111" s="335">
        <f t="shared" si="8"/>
        <v>4.1762372902692914E-3</v>
      </c>
      <c r="V111" s="335">
        <f t="shared" si="9"/>
        <v>-3.4551482837475583E-5</v>
      </c>
    </row>
    <row r="112" spans="1:22" x14ac:dyDescent="0.45">
      <c r="A112" s="293" t="s">
        <v>156</v>
      </c>
      <c r="B112" s="297" t="s">
        <v>2</v>
      </c>
      <c r="C112" s="293" t="str">
        <f t="shared" si="5"/>
        <v>GreeceManufacture of basic pharmaceutical products and pharmaceutical preparations (C21)</v>
      </c>
      <c r="D112" s="297" t="s">
        <v>958</v>
      </c>
      <c r="E112" s="298">
        <v>715.63880222</v>
      </c>
      <c r="F112" s="298">
        <v>1273.0184384700001</v>
      </c>
      <c r="G112" s="302">
        <v>0.77885608566911069</v>
      </c>
      <c r="H112" s="303">
        <v>10050.682780539999</v>
      </c>
      <c r="I112" s="298">
        <v>644.59595889000002</v>
      </c>
      <c r="J112" s="298">
        <v>1273.0184384700001</v>
      </c>
      <c r="K112" s="302">
        <v>0.9749091208423788</v>
      </c>
      <c r="L112" s="298">
        <v>1645.41265886</v>
      </c>
      <c r="M112" s="298">
        <v>1691.9753046599999</v>
      </c>
      <c r="N112" s="298">
        <v>1715.7446492199999</v>
      </c>
      <c r="O112" s="306">
        <v>1767.03273029</v>
      </c>
      <c r="P112" s="306" cm="1">
        <f t="array" ref="P112">INDEX($E$2:$E$676, MATCH($B112, $B$2:$B$676, 0) * MATCH("Brazil", $A$2:$A$676, 0))</f>
        <v>12731.633698920001</v>
      </c>
      <c r="Q112" s="306">
        <f t="shared" si="6"/>
        <v>12015.9948967</v>
      </c>
      <c r="R112" s="336">
        <f>INDEX('Base GDP'!$A$1:$E$76,MATCH(A112,'Base GDP'!$A$1:$A$76,0),4)</f>
        <v>196841.83448053</v>
      </c>
      <c r="S112" s="336">
        <f>INDEX('Base GDP'!$A$1:$E$76,MATCH(A112,'Base GDP'!$A$1:$A$76,0),5)</f>
        <v>201121.93838619001</v>
      </c>
      <c r="T112" s="335">
        <f t="shared" si="7"/>
        <v>3.2746898574233631E-3</v>
      </c>
      <c r="U112" s="335">
        <f t="shared" si="8"/>
        <v>6.3295851694984044E-3</v>
      </c>
      <c r="V112" s="335">
        <f t="shared" si="9"/>
        <v>3.0548953120750413E-3</v>
      </c>
    </row>
    <row r="113" spans="1:22" x14ac:dyDescent="0.45">
      <c r="A113" s="293" t="s">
        <v>107</v>
      </c>
      <c r="B113" s="297" t="s">
        <v>2</v>
      </c>
      <c r="C113" s="293" t="str">
        <f t="shared" si="5"/>
        <v>IranManufacture of basic pharmaceutical products and pharmaceutical preparations (C21)</v>
      </c>
      <c r="D113" s="297" t="s">
        <v>958</v>
      </c>
      <c r="E113" s="298">
        <v>1095.6816050699999</v>
      </c>
      <c r="F113" s="298">
        <v>1040.81563643</v>
      </c>
      <c r="G113" s="302">
        <v>-5.0074737392798219E-2</v>
      </c>
      <c r="H113" s="303">
        <v>9670.6399776899998</v>
      </c>
      <c r="I113" s="298">
        <v>1133.5458679400001</v>
      </c>
      <c r="J113" s="298">
        <v>1040.81563643</v>
      </c>
      <c r="K113" s="302">
        <v>-8.1805451488715875E-2</v>
      </c>
      <c r="L113" s="298">
        <v>1277.95936519</v>
      </c>
      <c r="M113" s="298">
        <v>1427.6052800299999</v>
      </c>
      <c r="N113" s="298">
        <v>1496.7934920499999</v>
      </c>
      <c r="O113" s="306">
        <v>1672.2571124000001</v>
      </c>
      <c r="P113" s="306" cm="1">
        <f t="array" ref="P113">INDEX($E$2:$E$676, MATCH($B113, $B$2:$B$676, 0) * MATCH("Brazil", $A$2:$A$676, 0))</f>
        <v>12731.633698920001</v>
      </c>
      <c r="Q113" s="306">
        <f t="shared" si="6"/>
        <v>11635.952093850001</v>
      </c>
      <c r="R113" s="336">
        <f>INDEX('Base GDP'!$A$1:$E$76,MATCH(A113,'Base GDP'!$A$1:$A$76,0),4)</f>
        <v>195024.47923529</v>
      </c>
      <c r="S113" s="336">
        <f>INDEX('Base GDP'!$A$1:$E$76,MATCH(A113,'Base GDP'!$A$1:$A$76,0),5)</f>
        <v>224406.94908081999</v>
      </c>
      <c r="T113" s="335">
        <f t="shared" si="7"/>
        <v>5.8123260853444863E-3</v>
      </c>
      <c r="U113" s="335">
        <f t="shared" si="8"/>
        <v>4.6380722196581849E-3</v>
      </c>
      <c r="V113" s="335">
        <f t="shared" si="9"/>
        <v>-1.1742538656863014E-3</v>
      </c>
    </row>
    <row r="114" spans="1:22" x14ac:dyDescent="0.45">
      <c r="A114" s="293" t="s">
        <v>111</v>
      </c>
      <c r="B114" s="297" t="s">
        <v>2</v>
      </c>
      <c r="C114" s="293" t="str">
        <f t="shared" si="5"/>
        <v>Czech RepublicManufacture of basic pharmaceutical products and pharmaceutical preparations (C21)</v>
      </c>
      <c r="D114" s="297" t="s">
        <v>958</v>
      </c>
      <c r="E114" s="298">
        <v>667.37593183000001</v>
      </c>
      <c r="F114" s="298">
        <v>963.72041554999998</v>
      </c>
      <c r="G114" s="302">
        <v>0.4440443078422065</v>
      </c>
      <c r="H114" s="303">
        <v>10098.94565093</v>
      </c>
      <c r="I114" s="298">
        <v>780.76924709000002</v>
      </c>
      <c r="J114" s="298">
        <v>963.72041554999998</v>
      </c>
      <c r="K114" s="302">
        <v>0.23432168869595738</v>
      </c>
      <c r="L114" s="298">
        <v>1277.9719827700001</v>
      </c>
      <c r="M114" s="298">
        <v>1327.2096606600001</v>
      </c>
      <c r="N114" s="298">
        <v>1357.9520671</v>
      </c>
      <c r="O114" s="306">
        <v>1396.5168665199999</v>
      </c>
      <c r="P114" s="306" cm="1">
        <f t="array" ref="P114">INDEX($E$2:$E$676, MATCH($B114, $B$2:$B$676, 0) * MATCH("Brazil", $A$2:$A$676, 0))</f>
        <v>12731.633698920001</v>
      </c>
      <c r="Q114" s="306">
        <f t="shared" si="6"/>
        <v>12064.257767090001</v>
      </c>
      <c r="R114" s="336">
        <f>INDEX('Base GDP'!$A$1:$E$76,MATCH(A114,'Base GDP'!$A$1:$A$76,0),4)</f>
        <v>220291.04889604999</v>
      </c>
      <c r="S114" s="336">
        <f>INDEX('Base GDP'!$A$1:$E$76,MATCH(A114,'Base GDP'!$A$1:$A$76,0),5)</f>
        <v>247058.51905223</v>
      </c>
      <c r="T114" s="335">
        <f t="shared" si="7"/>
        <v>3.5442622430765496E-3</v>
      </c>
      <c r="U114" s="335">
        <f t="shared" si="8"/>
        <v>3.9007779179080337E-3</v>
      </c>
      <c r="V114" s="335">
        <f t="shared" si="9"/>
        <v>3.5651567483148405E-4</v>
      </c>
    </row>
    <row r="115" spans="1:22" x14ac:dyDescent="0.45">
      <c r="A115" s="293" t="s">
        <v>151</v>
      </c>
      <c r="B115" s="297" t="s">
        <v>2</v>
      </c>
      <c r="C115" s="293" t="str">
        <f t="shared" si="5"/>
        <v>NorwayManufacture of basic pharmaceutical products and pharmaceutical preparations (C21)</v>
      </c>
      <c r="D115" s="297" t="s">
        <v>958</v>
      </c>
      <c r="E115" s="298">
        <v>574.31849884999997</v>
      </c>
      <c r="F115" s="298">
        <v>922.64280788999997</v>
      </c>
      <c r="G115" s="302">
        <v>0.606500242874773</v>
      </c>
      <c r="H115" s="303">
        <v>10192.00308391</v>
      </c>
      <c r="I115" s="298">
        <v>768.12433979000002</v>
      </c>
      <c r="J115" s="298">
        <v>922.64280788999997</v>
      </c>
      <c r="K115" s="302">
        <v>0.20116335350373649</v>
      </c>
      <c r="L115" s="298">
        <v>1203.12909545</v>
      </c>
      <c r="M115" s="298">
        <v>1291.4760186799999</v>
      </c>
      <c r="N115" s="298">
        <v>1345.2152560500001</v>
      </c>
      <c r="O115" s="306">
        <v>1473.1309510399999</v>
      </c>
      <c r="P115" s="306" cm="1">
        <f t="array" ref="P115">INDEX($E$2:$E$676, MATCH($B115, $B$2:$B$676, 0) * MATCH("Brazil", $A$2:$A$676, 0))</f>
        <v>12731.633698920001</v>
      </c>
      <c r="Q115" s="306">
        <f t="shared" si="6"/>
        <v>12157.315200070001</v>
      </c>
      <c r="R115" s="336">
        <f>INDEX('Base GDP'!$A$1:$E$76,MATCH(A115,'Base GDP'!$A$1:$A$76,0),4)</f>
        <v>386512.35690163</v>
      </c>
      <c r="S115" s="336">
        <f>INDEX('Base GDP'!$A$1:$E$76,MATCH(A115,'Base GDP'!$A$1:$A$76,0),5)</f>
        <v>418559.21595058002</v>
      </c>
      <c r="T115" s="335">
        <f t="shared" si="7"/>
        <v>1.9873215592574002E-3</v>
      </c>
      <c r="U115" s="335">
        <f t="shared" si="8"/>
        <v>2.2043304094848505E-3</v>
      </c>
      <c r="V115" s="335">
        <f t="shared" si="9"/>
        <v>2.1700885022745038E-4</v>
      </c>
    </row>
    <row r="116" spans="1:22" x14ac:dyDescent="0.45">
      <c r="A116" s="293" t="s">
        <v>161</v>
      </c>
      <c r="B116" s="297" t="s">
        <v>2</v>
      </c>
      <c r="C116" s="293" t="str">
        <f t="shared" si="5"/>
        <v>PortugalManufacture of basic pharmaceutical products and pharmaceutical preparations (C21)</v>
      </c>
      <c r="D116" s="297" t="s">
        <v>958</v>
      </c>
      <c r="E116" s="298">
        <v>542.96304969000005</v>
      </c>
      <c r="F116" s="298">
        <v>910.12418425999999</v>
      </c>
      <c r="G116" s="302">
        <v>0.67621753410223273</v>
      </c>
      <c r="H116" s="303">
        <v>10223.358533069999</v>
      </c>
      <c r="I116" s="298">
        <v>651.30040441000006</v>
      </c>
      <c r="J116" s="298">
        <v>910.12418425999999</v>
      </c>
      <c r="K116" s="302">
        <v>0.39739539250626321</v>
      </c>
      <c r="L116" s="298">
        <v>1188.3235289500001</v>
      </c>
      <c r="M116" s="298">
        <v>1258.2906045699999</v>
      </c>
      <c r="N116" s="298">
        <v>1297.8901208899999</v>
      </c>
      <c r="O116" s="306">
        <v>1380.0246755400001</v>
      </c>
      <c r="P116" s="306" cm="1">
        <f t="array" ref="P116">INDEX($E$2:$E$676, MATCH($B116, $B$2:$B$676, 0) * MATCH("Brazil", $A$2:$A$676, 0))</f>
        <v>12731.633698920001</v>
      </c>
      <c r="Q116" s="306">
        <f t="shared" si="6"/>
        <v>12188.67064923</v>
      </c>
      <c r="R116" s="336">
        <f>INDEX('Base GDP'!$A$1:$E$76,MATCH(A116,'Base GDP'!$A$1:$A$76,0),4)</f>
        <v>215192.52938671</v>
      </c>
      <c r="S116" s="336">
        <f>INDEX('Base GDP'!$A$1:$E$76,MATCH(A116,'Base GDP'!$A$1:$A$76,0),5)</f>
        <v>232686.90641277001</v>
      </c>
      <c r="T116" s="335">
        <f t="shared" si="7"/>
        <v>3.0265939355152332E-3</v>
      </c>
      <c r="U116" s="335">
        <f t="shared" si="8"/>
        <v>3.9113682771883367E-3</v>
      </c>
      <c r="V116" s="335">
        <f t="shared" si="9"/>
        <v>8.847743416731035E-4</v>
      </c>
    </row>
    <row r="117" spans="1:22" x14ac:dyDescent="0.45">
      <c r="A117" s="293" t="s">
        <v>170</v>
      </c>
      <c r="B117" s="297" t="s">
        <v>2</v>
      </c>
      <c r="C117" s="293" t="str">
        <f t="shared" si="5"/>
        <v>ChileManufacture of basic pharmaceutical products and pharmaceutical preparations (C21)</v>
      </c>
      <c r="D117" s="297" t="s">
        <v>958</v>
      </c>
      <c r="E117" s="298">
        <v>787.42059523</v>
      </c>
      <c r="F117" s="298">
        <v>821.33830048000004</v>
      </c>
      <c r="G117" s="302">
        <v>4.3074445163696629E-2</v>
      </c>
      <c r="H117" s="303">
        <v>9978.9009875299998</v>
      </c>
      <c r="I117" s="298">
        <v>782.03671650000001</v>
      </c>
      <c r="J117" s="298">
        <v>821.33830048000004</v>
      </c>
      <c r="K117" s="302">
        <v>5.0255420430761921E-2</v>
      </c>
      <c r="L117" s="298">
        <v>793.09753067999998</v>
      </c>
      <c r="M117" s="298">
        <v>877.65185093000002</v>
      </c>
      <c r="N117" s="298">
        <v>946.65193747000001</v>
      </c>
      <c r="O117" s="306">
        <v>1109.0912218799999</v>
      </c>
      <c r="P117" s="306" cm="1">
        <f t="array" ref="P117">INDEX($E$2:$E$676, MATCH($B117, $B$2:$B$676, 0) * MATCH("Brazil", $A$2:$A$676, 0))</f>
        <v>12731.633698920001</v>
      </c>
      <c r="Q117" s="306">
        <f t="shared" si="6"/>
        <v>11944.213103690001</v>
      </c>
      <c r="R117" s="336">
        <f>INDEX('Base GDP'!$A$1:$E$76,MATCH(A117,'Base GDP'!$A$1:$A$76,0),4)</f>
        <v>257576.69277617999</v>
      </c>
      <c r="S117" s="336">
        <f>INDEX('Base GDP'!$A$1:$E$76,MATCH(A117,'Base GDP'!$A$1:$A$76,0),5)</f>
        <v>291863.26262717001</v>
      </c>
      <c r="T117" s="335">
        <f t="shared" si="7"/>
        <v>3.0361315228918909E-3</v>
      </c>
      <c r="U117" s="335">
        <f t="shared" si="8"/>
        <v>2.814120191376016E-3</v>
      </c>
      <c r="V117" s="335">
        <f t="shared" si="9"/>
        <v>-2.220113315158749E-4</v>
      </c>
    </row>
    <row r="118" spans="1:22" x14ac:dyDescent="0.45">
      <c r="A118" s="293" t="s">
        <v>109</v>
      </c>
      <c r="B118" s="297" t="s">
        <v>2</v>
      </c>
      <c r="C118" s="293" t="str">
        <f t="shared" si="5"/>
        <v>ThailandManufacture of basic pharmaceutical products and pharmaceutical preparations (C21)</v>
      </c>
      <c r="D118" s="297" t="s">
        <v>958</v>
      </c>
      <c r="E118" s="298">
        <v>672.08660524000004</v>
      </c>
      <c r="F118" s="298">
        <v>814.97077022999997</v>
      </c>
      <c r="G118" s="302">
        <v>0.2125978465810614</v>
      </c>
      <c r="H118" s="303">
        <v>10094.23497752</v>
      </c>
      <c r="I118" s="298">
        <v>799.89865025999995</v>
      </c>
      <c r="J118" s="298">
        <v>814.97077022999997</v>
      </c>
      <c r="K118" s="302">
        <v>1.8842537070291376E-2</v>
      </c>
      <c r="L118" s="298">
        <v>1026.1797034799999</v>
      </c>
      <c r="M118" s="298">
        <v>1217.52905822</v>
      </c>
      <c r="N118" s="298">
        <v>1364.24834672</v>
      </c>
      <c r="O118" s="306">
        <v>1767.4283273399999</v>
      </c>
      <c r="P118" s="306" cm="1">
        <f t="array" ref="P118">INDEX($E$2:$E$676, MATCH($B118, $B$2:$B$676, 0) * MATCH("Brazil", $A$2:$A$676, 0))</f>
        <v>12731.633698920001</v>
      </c>
      <c r="Q118" s="306">
        <f t="shared" si="6"/>
        <v>12059.547093680001</v>
      </c>
      <c r="R118" s="336">
        <f>INDEX('Base GDP'!$A$1:$E$76,MATCH(A118,'Base GDP'!$A$1:$A$76,0),4)</f>
        <v>474324.68093352998</v>
      </c>
      <c r="S118" s="336">
        <f>INDEX('Base GDP'!$A$1:$E$76,MATCH(A118,'Base GDP'!$A$1:$A$76,0),5)</f>
        <v>518585.14704719</v>
      </c>
      <c r="T118" s="335">
        <f t="shared" si="7"/>
        <v>1.6863947469182921E-3</v>
      </c>
      <c r="U118" s="335">
        <f t="shared" si="8"/>
        <v>1.5715274046517178E-3</v>
      </c>
      <c r="V118" s="335">
        <f t="shared" si="9"/>
        <v>-1.1486734226657429E-4</v>
      </c>
    </row>
    <row r="119" spans="1:22" x14ac:dyDescent="0.45">
      <c r="A119" s="293" t="s">
        <v>145</v>
      </c>
      <c r="B119" s="297" t="s">
        <v>2</v>
      </c>
      <c r="C119" s="293" t="str">
        <f t="shared" si="5"/>
        <v>South AfricaManufacture of basic pharmaceutical products and pharmaceutical preparations (C21)</v>
      </c>
      <c r="D119" s="297" t="s">
        <v>958</v>
      </c>
      <c r="E119" s="298">
        <v>763.40193346000001</v>
      </c>
      <c r="F119" s="298">
        <v>786.76036544999999</v>
      </c>
      <c r="G119" s="302">
        <v>3.0597816125683019E-2</v>
      </c>
      <c r="H119" s="303">
        <v>10002.9196493</v>
      </c>
      <c r="I119" s="298">
        <v>870.64686155000004</v>
      </c>
      <c r="J119" s="298">
        <v>786.76036544999999</v>
      </c>
      <c r="K119" s="302">
        <v>-9.6349622108162336E-2</v>
      </c>
      <c r="L119" s="298">
        <v>729.11492866000003</v>
      </c>
      <c r="M119" s="298">
        <v>770.75365983999995</v>
      </c>
      <c r="N119" s="298">
        <v>816.61205875999997</v>
      </c>
      <c r="O119" s="306">
        <v>915.32043241999997</v>
      </c>
      <c r="P119" s="306" cm="1">
        <f t="array" ref="P119">INDEX($E$2:$E$676, MATCH($B119, $B$2:$B$676, 0) * MATCH("Brazil", $A$2:$A$676, 0))</f>
        <v>12731.633698920001</v>
      </c>
      <c r="Q119" s="306">
        <f t="shared" si="6"/>
        <v>11968.231765460001</v>
      </c>
      <c r="R119" s="336">
        <f>INDEX('Base GDP'!$A$1:$E$76,MATCH(A119,'Base GDP'!$A$1:$A$76,0),4)</f>
        <v>375376.48654821003</v>
      </c>
      <c r="S119" s="336">
        <f>INDEX('Base GDP'!$A$1:$E$76,MATCH(A119,'Base GDP'!$A$1:$A$76,0),5)</f>
        <v>383209.69906191999</v>
      </c>
      <c r="T119" s="335">
        <f t="shared" si="7"/>
        <v>2.3193963733745531E-3</v>
      </c>
      <c r="U119" s="335">
        <f t="shared" si="8"/>
        <v>2.0530805127739558E-3</v>
      </c>
      <c r="V119" s="335">
        <f t="shared" si="9"/>
        <v>-2.6631586060059734E-4</v>
      </c>
    </row>
    <row r="120" spans="1:22" x14ac:dyDescent="0.45">
      <c r="A120" s="293" t="s">
        <v>122</v>
      </c>
      <c r="B120" s="297" t="s">
        <v>2</v>
      </c>
      <c r="C120" s="293" t="str">
        <f t="shared" si="5"/>
        <v>VietnamManufacture of basic pharmaceutical products and pharmaceutical preparations (C21)</v>
      </c>
      <c r="D120" s="297" t="s">
        <v>958</v>
      </c>
      <c r="E120" s="298">
        <v>451.96893104999998</v>
      </c>
      <c r="F120" s="298">
        <v>782.59396247999996</v>
      </c>
      <c r="G120" s="302">
        <v>0.73152159079143408</v>
      </c>
      <c r="H120" s="303">
        <v>10314.35265171</v>
      </c>
      <c r="I120" s="298">
        <v>553.58983705000003</v>
      </c>
      <c r="J120" s="298">
        <v>782.59396247999996</v>
      </c>
      <c r="K120" s="302">
        <v>0.41367111551456537</v>
      </c>
      <c r="L120" s="298">
        <v>1108.0452633899999</v>
      </c>
      <c r="M120" s="298">
        <v>1461.17064478</v>
      </c>
      <c r="N120" s="298">
        <v>1774.8771590399999</v>
      </c>
      <c r="O120" s="306">
        <v>2665.1378704200001</v>
      </c>
      <c r="P120" s="306" cm="1">
        <f t="array" ref="P120">INDEX($E$2:$E$676, MATCH($B120, $B$2:$B$676, 0) * MATCH("Brazil", $A$2:$A$676, 0))</f>
        <v>12731.633698920001</v>
      </c>
      <c r="Q120" s="306">
        <f t="shared" si="6"/>
        <v>12279.664767870001</v>
      </c>
      <c r="R120" s="336">
        <f>INDEX('Base GDP'!$A$1:$E$76,MATCH(A120,'Base GDP'!$A$1:$A$76,0),4)</f>
        <v>254018.52751081</v>
      </c>
      <c r="S120" s="336">
        <f>INDEX('Base GDP'!$A$1:$E$76,MATCH(A120,'Base GDP'!$A$1:$A$76,0),5)</f>
        <v>352775.42056751001</v>
      </c>
      <c r="T120" s="335">
        <f t="shared" si="7"/>
        <v>2.1793285807722882E-3</v>
      </c>
      <c r="U120" s="335">
        <f t="shared" si="8"/>
        <v>2.2183914095291577E-3</v>
      </c>
      <c r="V120" s="335">
        <f t="shared" si="9"/>
        <v>3.9062828756869419E-5</v>
      </c>
    </row>
    <row r="121" spans="1:22" x14ac:dyDescent="0.45">
      <c r="A121" s="293" t="s">
        <v>164</v>
      </c>
      <c r="B121" s="297" t="s">
        <v>2</v>
      </c>
      <c r="C121" s="293" t="str">
        <f t="shared" si="5"/>
        <v>MoroccoManufacture of basic pharmaceutical products and pharmaceutical preparations (C21)</v>
      </c>
      <c r="D121" s="297" t="s">
        <v>958</v>
      </c>
      <c r="E121" s="298">
        <v>560.23053322999999</v>
      </c>
      <c r="F121" s="298">
        <v>653.94559487000004</v>
      </c>
      <c r="G121" s="302">
        <v>0.16727946100989421</v>
      </c>
      <c r="H121" s="303">
        <v>10206.09104953</v>
      </c>
      <c r="I121" s="298">
        <v>566.43192231</v>
      </c>
      <c r="J121" s="298">
        <v>653.94559487000004</v>
      </c>
      <c r="K121" s="302">
        <v>0.1544998950678933</v>
      </c>
      <c r="L121" s="298">
        <v>910.03650554000001</v>
      </c>
      <c r="M121" s="298">
        <v>960.75293724999995</v>
      </c>
      <c r="N121" s="298">
        <v>983.57833677999997</v>
      </c>
      <c r="O121" s="306">
        <v>1052.2482225900001</v>
      </c>
      <c r="P121" s="306" cm="1">
        <f t="array" ref="P121">INDEX($E$2:$E$676, MATCH($B121, $B$2:$B$676, 0) * MATCH("Brazil", $A$2:$A$676, 0))</f>
        <v>12731.633698920001</v>
      </c>
      <c r="Q121" s="306">
        <f t="shared" si="6"/>
        <v>12171.403165690001</v>
      </c>
      <c r="R121" s="336">
        <f>INDEX('Base GDP'!$A$1:$E$76,MATCH(A121,'Base GDP'!$A$1:$A$76,0),4)</f>
        <v>115608.87885166</v>
      </c>
      <c r="S121" s="336">
        <f>INDEX('Base GDP'!$A$1:$E$76,MATCH(A121,'Base GDP'!$A$1:$A$76,0),5)</f>
        <v>129710.11086108</v>
      </c>
      <c r="T121" s="335">
        <f t="shared" si="7"/>
        <v>4.8995538053508833E-3</v>
      </c>
      <c r="U121" s="335">
        <f t="shared" si="8"/>
        <v>5.0415930610866423E-3</v>
      </c>
      <c r="V121" s="335">
        <f t="shared" si="9"/>
        <v>1.4203925573575901E-4</v>
      </c>
    </row>
    <row r="122" spans="1:22" x14ac:dyDescent="0.45">
      <c r="A122" s="293" t="s">
        <v>149</v>
      </c>
      <c r="B122" s="297" t="s">
        <v>2</v>
      </c>
      <c r="C122" s="293" t="str">
        <f t="shared" si="5"/>
        <v>UkraineManufacture of basic pharmaceutical products and pharmaceutical preparations (C21)</v>
      </c>
      <c r="D122" s="297" t="s">
        <v>958</v>
      </c>
      <c r="E122" s="298">
        <v>575.05578206999996</v>
      </c>
      <c r="F122" s="298">
        <v>615.98209610000004</v>
      </c>
      <c r="G122" s="302">
        <v>7.1169294016451223E-2</v>
      </c>
      <c r="H122" s="303">
        <v>10191.26580069</v>
      </c>
      <c r="I122" s="298">
        <v>544.92999935</v>
      </c>
      <c r="J122" s="298">
        <v>615.98209610000004</v>
      </c>
      <c r="K122" s="302">
        <v>0.13038756690722098</v>
      </c>
      <c r="L122" s="298">
        <v>517.01949346000004</v>
      </c>
      <c r="M122" s="298">
        <v>643.50733193999997</v>
      </c>
      <c r="N122" s="298">
        <v>829.95932103999996</v>
      </c>
      <c r="O122" s="306">
        <v>1417.33960482</v>
      </c>
      <c r="P122" s="306" cm="1">
        <f t="array" ref="P122">INDEX($E$2:$E$676, MATCH($B122, $B$2:$B$676, 0) * MATCH("Brazil", $A$2:$A$676, 0))</f>
        <v>12731.633698920001</v>
      </c>
      <c r="Q122" s="306">
        <f t="shared" si="6"/>
        <v>12156.577916850001</v>
      </c>
      <c r="R122" s="336">
        <f>INDEX('Base GDP'!$A$1:$E$76,MATCH(A122,'Base GDP'!$A$1:$A$76,0),4)</f>
        <v>137743.94890503999</v>
      </c>
      <c r="S122" s="336">
        <f>INDEX('Base GDP'!$A$1:$E$76,MATCH(A122,'Base GDP'!$A$1:$A$76,0),5)</f>
        <v>153275.23415388001</v>
      </c>
      <c r="T122" s="335">
        <f t="shared" si="7"/>
        <v>3.956108443832056E-3</v>
      </c>
      <c r="U122" s="335">
        <f t="shared" si="8"/>
        <v>4.0187972929898608E-3</v>
      </c>
      <c r="V122" s="335">
        <f t="shared" si="9"/>
        <v>6.2688849157804816E-5</v>
      </c>
    </row>
    <row r="123" spans="1:22" x14ac:dyDescent="0.45">
      <c r="A123" s="293" t="s">
        <v>176</v>
      </c>
      <c r="B123" s="297" t="s">
        <v>2</v>
      </c>
      <c r="C123" s="293" t="str">
        <f t="shared" si="5"/>
        <v>JordanManufacture of basic pharmaceutical products and pharmaceutical preparations (C21)</v>
      </c>
      <c r="D123" s="297" t="s">
        <v>958</v>
      </c>
      <c r="E123" s="298">
        <v>402.31498218000002</v>
      </c>
      <c r="F123" s="298">
        <v>506.14136107000002</v>
      </c>
      <c r="G123" s="302">
        <v>0.25807236491020613</v>
      </c>
      <c r="H123" s="303">
        <v>10364.00660058</v>
      </c>
      <c r="I123" s="298">
        <v>386.82539603999999</v>
      </c>
      <c r="J123" s="298">
        <v>506.14136107000002</v>
      </c>
      <c r="K123" s="302">
        <v>0.30844915109364246</v>
      </c>
      <c r="L123" s="298">
        <v>619.21168651999994</v>
      </c>
      <c r="M123" s="298">
        <v>701.72569307000003</v>
      </c>
      <c r="N123" s="298">
        <v>766.5226887</v>
      </c>
      <c r="O123" s="306">
        <v>922.76175805000003</v>
      </c>
      <c r="P123" s="306" cm="1">
        <f t="array" ref="P123">INDEX($E$2:$E$676, MATCH($B123, $B$2:$B$676, 0) * MATCH("Brazil", $A$2:$A$676, 0))</f>
        <v>12731.633698920001</v>
      </c>
      <c r="Q123" s="306">
        <f t="shared" si="6"/>
        <v>12329.318716740001</v>
      </c>
      <c r="R123" s="336">
        <f>INDEX('Base GDP'!$A$1:$E$76,MATCH(A123,'Base GDP'!$A$1:$A$76,0),4)</f>
        <v>41181.394892199998</v>
      </c>
      <c r="S123" s="336">
        <f>INDEX('Base GDP'!$A$1:$E$76,MATCH(A123,'Base GDP'!$A$1:$A$76,0),5)</f>
        <v>44841.419332370002</v>
      </c>
      <c r="T123" s="335">
        <f t="shared" si="7"/>
        <v>9.3932077107292695E-3</v>
      </c>
      <c r="U123" s="335">
        <f t="shared" si="8"/>
        <v>1.1287362634942915E-2</v>
      </c>
      <c r="V123" s="335">
        <f t="shared" si="9"/>
        <v>1.8941549242136452E-3</v>
      </c>
    </row>
    <row r="124" spans="1:22" x14ac:dyDescent="0.45">
      <c r="A124" s="293" t="s">
        <v>144</v>
      </c>
      <c r="B124" s="297" t="s">
        <v>2</v>
      </c>
      <c r="C124" s="293" t="str">
        <f t="shared" si="5"/>
        <v>MalaysiaManufacture of basic pharmaceutical products and pharmaceutical preparations (C21)</v>
      </c>
      <c r="D124" s="297" t="s">
        <v>958</v>
      </c>
      <c r="E124" s="298">
        <v>169.65433442</v>
      </c>
      <c r="F124" s="298">
        <v>452.29836456999999</v>
      </c>
      <c r="G124" s="302">
        <v>1.6659994636522533</v>
      </c>
      <c r="H124" s="303">
        <v>10596.66724834</v>
      </c>
      <c r="I124" s="298">
        <v>298.94200021</v>
      </c>
      <c r="J124" s="298">
        <v>452.29836456999999</v>
      </c>
      <c r="K124" s="302">
        <v>0.51299705043878285</v>
      </c>
      <c r="L124" s="298">
        <v>539.88614316999997</v>
      </c>
      <c r="M124" s="298">
        <v>660.27901366000003</v>
      </c>
      <c r="N124" s="298">
        <v>758.05495675999998</v>
      </c>
      <c r="O124" s="306">
        <v>1007.13238941</v>
      </c>
      <c r="P124" s="306" cm="1">
        <f t="array" ref="P124">INDEX($E$2:$E$676, MATCH($B124, $B$2:$B$676, 0) * MATCH("Brazil", $A$2:$A$676, 0))</f>
        <v>12731.633698920001</v>
      </c>
      <c r="Q124" s="306">
        <f t="shared" si="6"/>
        <v>12561.979364500001</v>
      </c>
      <c r="R124" s="336">
        <f>INDEX('Base GDP'!$A$1:$E$76,MATCH(A124,'Base GDP'!$A$1:$A$76,0),4)</f>
        <v>301830.41438700003</v>
      </c>
      <c r="S124" s="336">
        <f>INDEX('Base GDP'!$A$1:$E$76,MATCH(A124,'Base GDP'!$A$1:$A$76,0),5)</f>
        <v>356559.39228144003</v>
      </c>
      <c r="T124" s="335">
        <f t="shared" si="7"/>
        <v>9.9043034088242498E-4</v>
      </c>
      <c r="U124" s="335">
        <f t="shared" si="8"/>
        <v>1.268507784007527E-3</v>
      </c>
      <c r="V124" s="335">
        <f t="shared" si="9"/>
        <v>2.7807744312510199E-4</v>
      </c>
    </row>
    <row r="125" spans="1:22" x14ac:dyDescent="0.45">
      <c r="A125" s="293" t="s">
        <v>162</v>
      </c>
      <c r="B125" s="297" t="s">
        <v>2</v>
      </c>
      <c r="C125" s="293" t="str">
        <f t="shared" si="5"/>
        <v>RomaniaManufacture of basic pharmaceutical products and pharmaceutical preparations (C21)</v>
      </c>
      <c r="D125" s="297" t="s">
        <v>958</v>
      </c>
      <c r="E125" s="298">
        <v>318.98615043000001</v>
      </c>
      <c r="F125" s="298">
        <v>392.00174586000003</v>
      </c>
      <c r="G125" s="302">
        <v>0.22889895166788099</v>
      </c>
      <c r="H125" s="303">
        <v>10447.335432329999</v>
      </c>
      <c r="I125" s="298">
        <v>354.52716654</v>
      </c>
      <c r="J125" s="298">
        <v>392.00174586000003</v>
      </c>
      <c r="K125" s="302">
        <v>0.10570298373953224</v>
      </c>
      <c r="L125" s="298">
        <v>442.50234491999998</v>
      </c>
      <c r="M125" s="298">
        <v>465.55758216999999</v>
      </c>
      <c r="N125" s="298">
        <v>479.65462824999997</v>
      </c>
      <c r="O125" s="306">
        <v>499.00649788999999</v>
      </c>
      <c r="P125" s="306" cm="1">
        <f t="array" ref="P125">INDEX($E$2:$E$676, MATCH($B125, $B$2:$B$676, 0) * MATCH("Brazil", $A$2:$A$676, 0))</f>
        <v>12731.633698920001</v>
      </c>
      <c r="Q125" s="306">
        <f t="shared" si="6"/>
        <v>12412.64754849</v>
      </c>
      <c r="R125" s="336">
        <f>INDEX('Base GDP'!$A$1:$E$76,MATCH(A125,'Base GDP'!$A$1:$A$76,0),4)</f>
        <v>204518.17392167001</v>
      </c>
      <c r="S125" s="336">
        <f>INDEX('Base GDP'!$A$1:$E$76,MATCH(A125,'Base GDP'!$A$1:$A$76,0),5)</f>
        <v>254974.25152873</v>
      </c>
      <c r="T125" s="335">
        <f t="shared" si="7"/>
        <v>1.7334751222440657E-3</v>
      </c>
      <c r="U125" s="335">
        <f t="shared" si="8"/>
        <v>1.5374169882241228E-3</v>
      </c>
      <c r="V125" s="335">
        <f t="shared" si="9"/>
        <v>-1.9605813401994297E-4</v>
      </c>
    </row>
    <row r="126" spans="1:22" x14ac:dyDescent="0.45">
      <c r="A126" s="293" t="s">
        <v>172</v>
      </c>
      <c r="B126" s="297" t="s">
        <v>2</v>
      </c>
      <c r="C126" s="293" t="str">
        <f t="shared" si="5"/>
        <v>UruguayManufacture of basic pharmaceutical products and pharmaceutical preparations (C21)</v>
      </c>
      <c r="D126" s="297" t="s">
        <v>958</v>
      </c>
      <c r="E126" s="298">
        <v>231.71517772999999</v>
      </c>
      <c r="F126" s="298">
        <v>373.18930920999998</v>
      </c>
      <c r="G126" s="302">
        <v>0.61055185450496907</v>
      </c>
      <c r="H126" s="303">
        <v>10534.606405029999</v>
      </c>
      <c r="I126" s="298">
        <v>281.63917789999999</v>
      </c>
      <c r="J126" s="298">
        <v>373.18930920999998</v>
      </c>
      <c r="K126" s="302">
        <v>0.32506177582476181</v>
      </c>
      <c r="L126" s="298">
        <v>419.07010330999998</v>
      </c>
      <c r="M126" s="298">
        <v>476.45022569999998</v>
      </c>
      <c r="N126" s="298">
        <v>519.25527744999999</v>
      </c>
      <c r="O126" s="306">
        <v>616.59552728999995</v>
      </c>
      <c r="P126" s="306" cm="1">
        <f t="array" ref="P126">INDEX($E$2:$E$676, MATCH($B126, $B$2:$B$676, 0) * MATCH("Brazil", $A$2:$A$676, 0))</f>
        <v>12731.633698920001</v>
      </c>
      <c r="Q126" s="306">
        <f t="shared" si="6"/>
        <v>12499.91852119</v>
      </c>
      <c r="R126" s="336">
        <f>INDEX('Base GDP'!$A$1:$E$76,MATCH(A126,'Base GDP'!$A$1:$A$76,0),4)</f>
        <v>59449.563607900003</v>
      </c>
      <c r="S126" s="336">
        <f>INDEX('Base GDP'!$A$1:$E$76,MATCH(A126,'Base GDP'!$A$1:$A$76,0),5)</f>
        <v>61243.536031950003</v>
      </c>
      <c r="T126" s="335">
        <f t="shared" si="7"/>
        <v>4.737447355502104E-3</v>
      </c>
      <c r="U126" s="335">
        <f t="shared" si="8"/>
        <v>6.0935297565985038E-3</v>
      </c>
      <c r="V126" s="335">
        <f t="shared" si="9"/>
        <v>1.3560824010963998E-3</v>
      </c>
    </row>
    <row r="127" spans="1:22" x14ac:dyDescent="0.45">
      <c r="A127" s="293" t="s">
        <v>105</v>
      </c>
      <c r="B127" s="297" t="s">
        <v>2</v>
      </c>
      <c r="C127" s="293" t="str">
        <f t="shared" si="5"/>
        <v>Saudi ArabiaManufacture of basic pharmaceutical products and pharmaceutical preparations (C21)</v>
      </c>
      <c r="D127" s="297" t="s">
        <v>958</v>
      </c>
      <c r="E127" s="298">
        <v>275.51125251000002</v>
      </c>
      <c r="F127" s="298">
        <v>334.02770158999999</v>
      </c>
      <c r="G127" s="302">
        <v>0.21239222916267653</v>
      </c>
      <c r="H127" s="303">
        <v>10490.81033025</v>
      </c>
      <c r="I127" s="298">
        <v>323.14350123999998</v>
      </c>
      <c r="J127" s="298">
        <v>334.02770158999999</v>
      </c>
      <c r="K127" s="302">
        <v>3.3682250480774112E-2</v>
      </c>
      <c r="L127" s="298">
        <v>386.95669464000002</v>
      </c>
      <c r="M127" s="298">
        <v>423.19845660999999</v>
      </c>
      <c r="N127" s="298">
        <v>470.07298895999998</v>
      </c>
      <c r="O127" s="306">
        <v>558.23226412999998</v>
      </c>
      <c r="P127" s="306" cm="1">
        <f t="array" ref="P127">INDEX($E$2:$E$676, MATCH($B127, $B$2:$B$676, 0) * MATCH("Brazil", $A$2:$A$676, 0))</f>
        <v>12731.633698920001</v>
      </c>
      <c r="Q127" s="306">
        <f t="shared" si="6"/>
        <v>12456.122446410001</v>
      </c>
      <c r="R127" s="336">
        <f>INDEX('Base GDP'!$A$1:$E$76,MATCH(A127,'Base GDP'!$A$1:$A$76,0),4)</f>
        <v>791157.39281293005</v>
      </c>
      <c r="S127" s="336">
        <f>INDEX('Base GDP'!$A$1:$E$76,MATCH(A127,'Base GDP'!$A$1:$A$76,0),5)</f>
        <v>836861.61444072996</v>
      </c>
      <c r="T127" s="335">
        <f t="shared" si="7"/>
        <v>4.0844401401733167E-4</v>
      </c>
      <c r="U127" s="335">
        <f t="shared" si="8"/>
        <v>3.9914329421505236E-4</v>
      </c>
      <c r="V127" s="335">
        <f t="shared" si="9"/>
        <v>-9.3007198022793136E-6</v>
      </c>
    </row>
    <row r="128" spans="1:22" x14ac:dyDescent="0.45">
      <c r="A128" s="293" t="s">
        <v>147</v>
      </c>
      <c r="B128" s="297" t="s">
        <v>2</v>
      </c>
      <c r="C128" s="293" t="str">
        <f t="shared" si="5"/>
        <v>PeruManufacture of basic pharmaceutical products and pharmaceutical preparations (C21)</v>
      </c>
      <c r="D128" s="297" t="s">
        <v>958</v>
      </c>
      <c r="E128" s="298">
        <v>315.68381904</v>
      </c>
      <c r="F128" s="298">
        <v>321.00343084999997</v>
      </c>
      <c r="G128" s="302">
        <v>1.6851075313828234E-2</v>
      </c>
      <c r="H128" s="303">
        <v>10450.63776372</v>
      </c>
      <c r="I128" s="298">
        <v>285.38750906000001</v>
      </c>
      <c r="J128" s="298">
        <v>321.00343084999997</v>
      </c>
      <c r="K128" s="302">
        <v>0.12479846054689125</v>
      </c>
      <c r="L128" s="298">
        <v>360.94346488999997</v>
      </c>
      <c r="M128" s="298">
        <v>405.89609008999997</v>
      </c>
      <c r="N128" s="298">
        <v>444.89064304999999</v>
      </c>
      <c r="O128" s="306">
        <v>554.56539229999998</v>
      </c>
      <c r="P128" s="306" cm="1">
        <f t="array" ref="P128">INDEX($E$2:$E$676, MATCH($B128, $B$2:$B$676, 0) * MATCH("Brazil", $A$2:$A$676, 0))</f>
        <v>12731.633698920001</v>
      </c>
      <c r="Q128" s="306">
        <f t="shared" si="6"/>
        <v>12415.949879880001</v>
      </c>
      <c r="R128" s="336">
        <f>INDEX('Base GDP'!$A$1:$E$76,MATCH(A128,'Base GDP'!$A$1:$A$76,0),4)</f>
        <v>205342.67167914001</v>
      </c>
      <c r="S128" s="336">
        <f>INDEX('Base GDP'!$A$1:$E$76,MATCH(A128,'Base GDP'!$A$1:$A$76,0),5)</f>
        <v>235110.76142220001</v>
      </c>
      <c r="T128" s="335">
        <f t="shared" si="7"/>
        <v>1.3898110252794156E-3</v>
      </c>
      <c r="U128" s="335">
        <f t="shared" si="8"/>
        <v>1.3653285324254395E-3</v>
      </c>
      <c r="V128" s="335">
        <f t="shared" si="9"/>
        <v>-2.4482492853976096E-5</v>
      </c>
    </row>
    <row r="129" spans="1:22" x14ac:dyDescent="0.45">
      <c r="A129" s="293" t="s">
        <v>150</v>
      </c>
      <c r="B129" s="297" t="s">
        <v>2</v>
      </c>
      <c r="C129" s="293" t="str">
        <f t="shared" si="5"/>
        <v>PhilippinesManufacture of basic pharmaceutical products and pharmaceutical preparations (C21)</v>
      </c>
      <c r="D129" s="297" t="s">
        <v>958</v>
      </c>
      <c r="E129" s="298">
        <v>127.21536551</v>
      </c>
      <c r="F129" s="298">
        <v>236.38192527999999</v>
      </c>
      <c r="G129" s="302">
        <v>0.85812401145377959</v>
      </c>
      <c r="H129" s="303">
        <v>10639.106217250001</v>
      </c>
      <c r="I129" s="298">
        <v>196.89696863</v>
      </c>
      <c r="J129" s="298">
        <v>236.38192527999999</v>
      </c>
      <c r="K129" s="302">
        <v>0.20053613280455496</v>
      </c>
      <c r="L129" s="298">
        <v>304.89749409000001</v>
      </c>
      <c r="M129" s="298">
        <v>360.23961161</v>
      </c>
      <c r="N129" s="298">
        <v>403.98370853</v>
      </c>
      <c r="O129" s="306">
        <v>514.67151687</v>
      </c>
      <c r="P129" s="306" cm="1">
        <f t="array" ref="P129">INDEX($E$2:$E$676, MATCH($B129, $B$2:$B$676, 0) * MATCH("Brazil", $A$2:$A$676, 0))</f>
        <v>12731.633698920001</v>
      </c>
      <c r="Q129" s="306">
        <f t="shared" si="6"/>
        <v>12604.418333410002</v>
      </c>
      <c r="R129" s="336">
        <f>INDEX('Base GDP'!$A$1:$E$76,MATCH(A129,'Base GDP'!$A$1:$A$76,0),4)</f>
        <v>291518.00825125998</v>
      </c>
      <c r="S129" s="336">
        <f>INDEX('Base GDP'!$A$1:$E$76,MATCH(A129,'Base GDP'!$A$1:$A$76,0),5)</f>
        <v>360513.15606205998</v>
      </c>
      <c r="T129" s="335">
        <f t="shared" si="7"/>
        <v>6.7541957291466571E-4</v>
      </c>
      <c r="U129" s="335">
        <f t="shared" si="8"/>
        <v>6.5568182826401041E-4</v>
      </c>
      <c r="V129" s="335">
        <f t="shared" si="9"/>
        <v>-1.9737744650655297E-5</v>
      </c>
    </row>
    <row r="130" spans="1:22" x14ac:dyDescent="0.45">
      <c r="A130" s="293" t="s">
        <v>102</v>
      </c>
      <c r="B130" s="297" t="s">
        <v>2</v>
      </c>
      <c r="C130" s="293" t="str">
        <f t="shared" ref="C130:C193" si="10">A130&amp;B130</f>
        <v>NigeriaManufacture of basic pharmaceutical products and pharmaceutical preparations (C21)</v>
      </c>
      <c r="D130" s="297" t="s">
        <v>958</v>
      </c>
      <c r="E130" s="298">
        <v>68.022890360000005</v>
      </c>
      <c r="F130" s="298">
        <v>221.57414919000001</v>
      </c>
      <c r="G130" s="302">
        <v>2.257346872756437</v>
      </c>
      <c r="H130" s="303">
        <v>10698.2986924</v>
      </c>
      <c r="I130" s="298">
        <v>199.72740372999999</v>
      </c>
      <c r="J130" s="298">
        <v>221.57414919000001</v>
      </c>
      <c r="K130" s="302">
        <v>0.10938281403554106</v>
      </c>
      <c r="L130" s="298">
        <v>266.90866877000002</v>
      </c>
      <c r="M130" s="298">
        <v>307.03778738</v>
      </c>
      <c r="N130" s="298">
        <v>342.12051861999998</v>
      </c>
      <c r="O130" s="306">
        <v>428.13574967</v>
      </c>
      <c r="P130" s="306" cm="1">
        <f t="array" ref="P130">INDEX($E$2:$E$676, MATCH($B130, $B$2:$B$676, 0) * MATCH("Brazil", $A$2:$A$676, 0))</f>
        <v>12731.633698920001</v>
      </c>
      <c r="Q130" s="306">
        <f t="shared" si="6"/>
        <v>12663.610808560001</v>
      </c>
      <c r="R130" s="336">
        <f>INDEX('Base GDP'!$A$1:$E$76,MATCH(A130,'Base GDP'!$A$1:$A$76,0),4)</f>
        <v>460034.71302222001</v>
      </c>
      <c r="S130" s="336">
        <f>INDEX('Base GDP'!$A$1:$E$76,MATCH(A130,'Base GDP'!$A$1:$A$76,0),5)</f>
        <v>483780.49839321</v>
      </c>
      <c r="T130" s="335">
        <f t="shared" si="7"/>
        <v>4.3415724526064844E-4</v>
      </c>
      <c r="U130" s="335">
        <f t="shared" si="8"/>
        <v>4.5800554161632958E-4</v>
      </c>
      <c r="V130" s="335">
        <f t="shared" si="9"/>
        <v>2.3848296355681131E-5</v>
      </c>
    </row>
    <row r="131" spans="1:22" x14ac:dyDescent="0.45">
      <c r="A131" s="293" t="s">
        <v>160</v>
      </c>
      <c r="B131" s="297" t="s">
        <v>2</v>
      </c>
      <c r="C131" s="293" t="str">
        <f t="shared" si="10"/>
        <v>BulgariaManufacture of basic pharmaceutical products and pharmaceutical preparations (C21)</v>
      </c>
      <c r="D131" s="297" t="s">
        <v>958</v>
      </c>
      <c r="E131" s="298">
        <v>123.02028352000001</v>
      </c>
      <c r="F131" s="298">
        <v>217.80264303999999</v>
      </c>
      <c r="G131" s="302">
        <v>0.77046123458649607</v>
      </c>
      <c r="H131" s="303">
        <v>10643.30129924</v>
      </c>
      <c r="I131" s="298">
        <v>182.02023567000001</v>
      </c>
      <c r="J131" s="298">
        <v>217.80264303999999</v>
      </c>
      <c r="K131" s="302">
        <v>0.19658477662271001</v>
      </c>
      <c r="L131" s="298">
        <v>241.30276558</v>
      </c>
      <c r="M131" s="298">
        <v>246.49317611000001</v>
      </c>
      <c r="N131" s="298">
        <v>247.96249084999999</v>
      </c>
      <c r="O131" s="306">
        <v>250.63891785000001</v>
      </c>
      <c r="P131" s="306" cm="1">
        <f t="array" ref="P131">INDEX($E$2:$E$676, MATCH($B131, $B$2:$B$676, 0) * MATCH("Brazil", $A$2:$A$676, 0))</f>
        <v>12731.633698920001</v>
      </c>
      <c r="Q131" s="306">
        <f t="shared" ref="Q131:Q194" si="11">P131-E131</f>
        <v>12608.613415400001</v>
      </c>
      <c r="R131" s="336">
        <f>INDEX('Base GDP'!$A$1:$E$76,MATCH(A131,'Base GDP'!$A$1:$A$76,0),4)</f>
        <v>60854.013563</v>
      </c>
      <c r="S131" s="336">
        <f>INDEX('Base GDP'!$A$1:$E$76,MATCH(A131,'Base GDP'!$A$1:$A$76,0),5)</f>
        <v>70836.911882080007</v>
      </c>
      <c r="T131" s="335">
        <f t="shared" ref="T131:T194" si="12">I131/R131</f>
        <v>2.9910966428132288E-3</v>
      </c>
      <c r="U131" s="335">
        <f t="shared" ref="U131:U194" si="13">J131/S131</f>
        <v>3.0747055066794732E-3</v>
      </c>
      <c r="V131" s="335">
        <f t="shared" ref="V131:V194" si="14">U131-T131</f>
        <v>8.360886386624437E-5</v>
      </c>
    </row>
    <row r="132" spans="1:22" x14ac:dyDescent="0.45">
      <c r="A132" s="293" t="s">
        <v>163</v>
      </c>
      <c r="B132" s="297" t="s">
        <v>2</v>
      </c>
      <c r="C132" s="293" t="str">
        <f t="shared" si="10"/>
        <v>New ZealandManufacture of basic pharmaceutical products and pharmaceutical preparations (C21)</v>
      </c>
      <c r="D132" s="297" t="s">
        <v>958</v>
      </c>
      <c r="E132" s="298">
        <v>200.45394393000001</v>
      </c>
      <c r="F132" s="298">
        <v>205.18708527999999</v>
      </c>
      <c r="G132" s="302">
        <v>2.3612113871168461E-2</v>
      </c>
      <c r="H132" s="303">
        <v>10565.867638829999</v>
      </c>
      <c r="I132" s="298">
        <v>212.13599615000001</v>
      </c>
      <c r="J132" s="298">
        <v>205.18708527999999</v>
      </c>
      <c r="K132" s="302">
        <v>-3.2756868217152957E-2</v>
      </c>
      <c r="L132" s="298">
        <v>196.90705098000001</v>
      </c>
      <c r="M132" s="298">
        <v>204.19484231000001</v>
      </c>
      <c r="N132" s="298">
        <v>210.78181549000001</v>
      </c>
      <c r="O132" s="306">
        <v>226.69909045</v>
      </c>
      <c r="P132" s="306" cm="1">
        <f t="array" ref="P132">INDEX($E$2:$E$676, MATCH($B132, $B$2:$B$676, 0) * MATCH("Brazil", $A$2:$A$676, 0))</f>
        <v>12731.633698920001</v>
      </c>
      <c r="Q132" s="306">
        <f t="shared" si="11"/>
        <v>12531.17975499</v>
      </c>
      <c r="R132" s="336">
        <f>INDEX('Base GDP'!$A$1:$E$76,MATCH(A132,'Base GDP'!$A$1:$A$76,0),4)</f>
        <v>180884.85070677</v>
      </c>
      <c r="S132" s="336">
        <f>INDEX('Base GDP'!$A$1:$E$76,MATCH(A132,'Base GDP'!$A$1:$A$76,0),5)</f>
        <v>220909.49174857</v>
      </c>
      <c r="T132" s="335">
        <f t="shared" si="12"/>
        <v>1.1727681744553105E-3</v>
      </c>
      <c r="U132" s="335">
        <f t="shared" si="13"/>
        <v>9.2882874183394261E-4</v>
      </c>
      <c r="V132" s="335">
        <f t="shared" si="14"/>
        <v>-2.4393943262136786E-4</v>
      </c>
    </row>
    <row r="133" spans="1:22" x14ac:dyDescent="0.45">
      <c r="A133" s="293" t="s">
        <v>177</v>
      </c>
      <c r="B133" s="297" t="s">
        <v>2</v>
      </c>
      <c r="C133" s="293" t="str">
        <f t="shared" si="10"/>
        <v>BoliviaManufacture of basic pharmaceutical products and pharmaceutical preparations (C21)</v>
      </c>
      <c r="D133" s="297" t="s">
        <v>958</v>
      </c>
      <c r="E133" s="298">
        <v>103.52631955</v>
      </c>
      <c r="F133" s="298">
        <v>178.81643019000001</v>
      </c>
      <c r="G133" s="302">
        <v>0.72725574488946476</v>
      </c>
      <c r="H133" s="303">
        <v>10662.79526321</v>
      </c>
      <c r="I133" s="298">
        <v>130.36390589999999</v>
      </c>
      <c r="J133" s="298">
        <v>178.81643019000001</v>
      </c>
      <c r="K133" s="302">
        <v>0.37167131465949743</v>
      </c>
      <c r="L133" s="298">
        <v>229.11261422000001</v>
      </c>
      <c r="M133" s="298">
        <v>261.42795833999998</v>
      </c>
      <c r="N133" s="298">
        <v>284.67928282999998</v>
      </c>
      <c r="O133" s="306">
        <v>341.65553215</v>
      </c>
      <c r="P133" s="306" cm="1">
        <f t="array" ref="P133">INDEX($E$2:$E$676, MATCH($B133, $B$2:$B$676, 0) * MATCH("Brazil", $A$2:$A$676, 0))</f>
        <v>12731.633698920001</v>
      </c>
      <c r="Q133" s="306">
        <f t="shared" si="11"/>
        <v>12628.107379370002</v>
      </c>
      <c r="R133" s="336">
        <f>INDEX('Base GDP'!$A$1:$E$76,MATCH(A133,'Base GDP'!$A$1:$A$76,0),4)</f>
        <v>35334.894672080001</v>
      </c>
      <c r="S133" s="336">
        <f>INDEX('Base GDP'!$A$1:$E$76,MATCH(A133,'Base GDP'!$A$1:$A$76,0),5)</f>
        <v>39600.741188879998</v>
      </c>
      <c r="T133" s="335">
        <f t="shared" si="12"/>
        <v>3.6893814771438251E-3</v>
      </c>
      <c r="U133" s="335">
        <f t="shared" si="13"/>
        <v>4.5154819031572114E-3</v>
      </c>
      <c r="V133" s="335">
        <f t="shared" si="14"/>
        <v>8.2610042601338621E-4</v>
      </c>
    </row>
    <row r="134" spans="1:22" x14ac:dyDescent="0.45">
      <c r="A134" s="293" t="s">
        <v>159</v>
      </c>
      <c r="B134" s="297" t="s">
        <v>2</v>
      </c>
      <c r="C134" s="293" t="str">
        <f t="shared" si="10"/>
        <v>KuwaitManufacture of basic pharmaceutical products and pharmaceutical preparations (C21)</v>
      </c>
      <c r="D134" s="297" t="s">
        <v>958</v>
      </c>
      <c r="E134" s="298">
        <v>131.46621206</v>
      </c>
      <c r="F134" s="298">
        <v>156.50261401</v>
      </c>
      <c r="G134" s="302">
        <v>0.19043982143924265</v>
      </c>
      <c r="H134" s="303">
        <v>10634.855370699999</v>
      </c>
      <c r="I134" s="298">
        <v>154.78313095999999</v>
      </c>
      <c r="J134" s="298">
        <v>156.50261401</v>
      </c>
      <c r="K134" s="302">
        <v>1.1108982221353036E-2</v>
      </c>
      <c r="L134" s="298">
        <v>189.78093365000001</v>
      </c>
      <c r="M134" s="298">
        <v>196.24067353999999</v>
      </c>
      <c r="N134" s="298">
        <v>196.44089233</v>
      </c>
      <c r="O134" s="306">
        <v>199.17705104000001</v>
      </c>
      <c r="P134" s="306" cm="1">
        <f t="array" ref="P134">INDEX($E$2:$E$676, MATCH($B134, $B$2:$B$676, 0) * MATCH("Brazil", $A$2:$A$676, 0))</f>
        <v>12731.633698920001</v>
      </c>
      <c r="Q134" s="306">
        <f t="shared" si="11"/>
        <v>12600.16748686</v>
      </c>
      <c r="R134" s="336">
        <f>INDEX('Base GDP'!$A$1:$E$76,MATCH(A134,'Base GDP'!$A$1:$A$76,0),4)</f>
        <v>136318.13330372999</v>
      </c>
      <c r="S134" s="336">
        <f>INDEX('Base GDP'!$A$1:$E$76,MATCH(A134,'Base GDP'!$A$1:$A$76,0),5)</f>
        <v>128320.86664452001</v>
      </c>
      <c r="T134" s="335">
        <f t="shared" si="12"/>
        <v>1.1354551827314728E-3</v>
      </c>
      <c r="U134" s="335">
        <f t="shared" si="13"/>
        <v>1.219619365909913E-3</v>
      </c>
      <c r="V134" s="335">
        <f t="shared" si="14"/>
        <v>8.4164183178440152E-5</v>
      </c>
    </row>
    <row r="135" spans="1:22" x14ac:dyDescent="0.45">
      <c r="A135" s="293" t="s">
        <v>175</v>
      </c>
      <c r="B135" s="297" t="s">
        <v>2</v>
      </c>
      <c r="C135" s="293" t="str">
        <f t="shared" si="10"/>
        <v>KenyaManufacture of basic pharmaceutical products and pharmaceutical preparations (C21)</v>
      </c>
      <c r="D135" s="297" t="s">
        <v>958</v>
      </c>
      <c r="E135" s="298">
        <v>108.44525747</v>
      </c>
      <c r="F135" s="298">
        <v>148.11362058</v>
      </c>
      <c r="G135" s="302">
        <v>0.36579158955820401</v>
      </c>
      <c r="H135" s="303">
        <v>10657.876325289999</v>
      </c>
      <c r="I135" s="298">
        <v>129.35038947999999</v>
      </c>
      <c r="J135" s="298">
        <v>148.11362058</v>
      </c>
      <c r="K135" s="302">
        <v>0.14505739932774731</v>
      </c>
      <c r="L135" s="298">
        <v>167.93338954000001</v>
      </c>
      <c r="M135" s="298">
        <v>201.32008375999999</v>
      </c>
      <c r="N135" s="298">
        <v>230.4677298</v>
      </c>
      <c r="O135" s="306">
        <v>312.58121059000001</v>
      </c>
      <c r="P135" s="306" cm="1">
        <f t="array" ref="P135">INDEX($E$2:$E$676, MATCH($B135, $B$2:$B$676, 0) * MATCH("Brazil", $A$2:$A$676, 0))</f>
        <v>12731.633698920001</v>
      </c>
      <c r="Q135" s="306">
        <f t="shared" si="11"/>
        <v>12623.18844145</v>
      </c>
      <c r="R135" s="336">
        <f>INDEX('Base GDP'!$A$1:$E$76,MATCH(A135,'Base GDP'!$A$1:$A$76,0),4)</f>
        <v>83525.195225389994</v>
      </c>
      <c r="S135" s="336">
        <f>INDEX('Base GDP'!$A$1:$E$76,MATCH(A135,'Base GDP'!$A$1:$A$76,0),5)</f>
        <v>107697.99713524</v>
      </c>
      <c r="T135" s="335">
        <f t="shared" si="12"/>
        <v>1.5486391756517565E-3</v>
      </c>
      <c r="U135" s="335">
        <f t="shared" si="13"/>
        <v>1.3752681063697845E-3</v>
      </c>
      <c r="V135" s="335">
        <f t="shared" si="14"/>
        <v>-1.7337106928197194E-4</v>
      </c>
    </row>
    <row r="136" spans="1:22" x14ac:dyDescent="0.45">
      <c r="A136" s="293" t="s">
        <v>169</v>
      </c>
      <c r="B136" s="297" t="s">
        <v>2</v>
      </c>
      <c r="C136" s="293" t="str">
        <f t="shared" si="10"/>
        <v>Costa RicaManufacture of basic pharmaceutical products and pharmaceutical preparations (C21)</v>
      </c>
      <c r="D136" s="297" t="s">
        <v>958</v>
      </c>
      <c r="E136" s="298">
        <v>124.49986205</v>
      </c>
      <c r="F136" s="298">
        <v>142.33559468999999</v>
      </c>
      <c r="G136" s="302">
        <v>0.14325905544246331</v>
      </c>
      <c r="H136" s="303">
        <v>10641.821720710001</v>
      </c>
      <c r="I136" s="298">
        <v>133.30229955999999</v>
      </c>
      <c r="J136" s="298">
        <v>142.33559468999999</v>
      </c>
      <c r="K136" s="302">
        <v>6.7765486115519469E-2</v>
      </c>
      <c r="L136" s="298">
        <v>162.46329492000001</v>
      </c>
      <c r="M136" s="298">
        <v>172.76622183000001</v>
      </c>
      <c r="N136" s="298">
        <v>182.19650075000001</v>
      </c>
      <c r="O136" s="306">
        <v>209.28058755000001</v>
      </c>
      <c r="P136" s="306" cm="1">
        <f t="array" ref="P136">INDEX($E$2:$E$676, MATCH($B136, $B$2:$B$676, 0) * MATCH("Brazil", $A$2:$A$676, 0))</f>
        <v>12731.633698920001</v>
      </c>
      <c r="Q136" s="306">
        <f t="shared" si="11"/>
        <v>12607.133836870002</v>
      </c>
      <c r="R136" s="336">
        <f>INDEX('Base GDP'!$A$1:$E$76,MATCH(A136,'Base GDP'!$A$1:$A$76,0),4)</f>
        <v>56790.776904650003</v>
      </c>
      <c r="S136" s="336">
        <f>INDEX('Base GDP'!$A$1:$E$76,MATCH(A136,'Base GDP'!$A$1:$A$76,0),5)</f>
        <v>66933.267445050005</v>
      </c>
      <c r="T136" s="335">
        <f t="shared" si="12"/>
        <v>2.3472526143428277E-3</v>
      </c>
      <c r="U136" s="335">
        <f t="shared" si="13"/>
        <v>2.1265299024413055E-3</v>
      </c>
      <c r="V136" s="335">
        <f t="shared" si="14"/>
        <v>-2.2072271190152213E-4</v>
      </c>
    </row>
    <row r="137" spans="1:22" x14ac:dyDescent="0.45">
      <c r="A137" s="293" t="s">
        <v>143</v>
      </c>
      <c r="B137" s="297" t="s">
        <v>2</v>
      </c>
      <c r="C137" s="293" t="str">
        <f t="shared" si="10"/>
        <v>United Arab EmiratesManufacture of basic pharmaceutical products and pharmaceutical preparations (C21)</v>
      </c>
      <c r="D137" s="297" t="s">
        <v>958</v>
      </c>
      <c r="E137" s="298">
        <v>92.211561239999995</v>
      </c>
      <c r="F137" s="298">
        <v>127.11346177</v>
      </c>
      <c r="G137" s="302">
        <v>0.37849809785955646</v>
      </c>
      <c r="H137" s="303">
        <v>10674.11002152</v>
      </c>
      <c r="I137" s="298">
        <v>107.05911977</v>
      </c>
      <c r="J137" s="298">
        <v>127.11346177</v>
      </c>
      <c r="K137" s="302">
        <v>0.18732025859248291</v>
      </c>
      <c r="L137" s="298">
        <v>357.07983360999998</v>
      </c>
      <c r="M137" s="298">
        <v>398.24527333999998</v>
      </c>
      <c r="N137" s="298">
        <v>427.79728792999998</v>
      </c>
      <c r="O137" s="306">
        <v>499.17519623999999</v>
      </c>
      <c r="P137" s="306" cm="1">
        <f t="array" ref="P137">INDEX($E$2:$E$676, MATCH($B137, $B$2:$B$676, 0) * MATCH("Brazil", $A$2:$A$676, 0))</f>
        <v>12731.633698920001</v>
      </c>
      <c r="Q137" s="306">
        <f t="shared" si="11"/>
        <v>12639.422137680001</v>
      </c>
      <c r="R137" s="336">
        <f>INDEX('Base GDP'!$A$1:$E$76,MATCH(A137,'Base GDP'!$A$1:$A$76,0),4)</f>
        <v>383753.13090967003</v>
      </c>
      <c r="S137" s="336">
        <f>INDEX('Base GDP'!$A$1:$E$76,MATCH(A137,'Base GDP'!$A$1:$A$76,0),5)</f>
        <v>414599.77007557999</v>
      </c>
      <c r="T137" s="335">
        <f t="shared" si="12"/>
        <v>2.789791434827412E-4</v>
      </c>
      <c r="U137" s="335">
        <f t="shared" si="13"/>
        <v>3.0659317960265076E-4</v>
      </c>
      <c r="V137" s="335">
        <f t="shared" si="14"/>
        <v>2.761403611990955E-5</v>
      </c>
    </row>
    <row r="138" spans="1:22" x14ac:dyDescent="0.45">
      <c r="A138" s="293" t="s">
        <v>158</v>
      </c>
      <c r="B138" s="297" t="s">
        <v>2</v>
      </c>
      <c r="C138" s="293" t="str">
        <f t="shared" si="10"/>
        <v>GhanaManufacture of basic pharmaceutical products and pharmaceutical preparations (C21)</v>
      </c>
      <c r="D138" s="297" t="s">
        <v>958</v>
      </c>
      <c r="E138" s="298">
        <v>105.75926762</v>
      </c>
      <c r="F138" s="298">
        <v>119.65819148999999</v>
      </c>
      <c r="G138" s="302">
        <v>0.13142038691058011</v>
      </c>
      <c r="H138" s="303">
        <v>10660.56231514</v>
      </c>
      <c r="I138" s="298">
        <v>104.9052827</v>
      </c>
      <c r="J138" s="298">
        <v>119.65819148999999</v>
      </c>
      <c r="K138" s="302">
        <v>0.1406307519535428</v>
      </c>
      <c r="L138" s="298">
        <v>128.38274387999999</v>
      </c>
      <c r="M138" s="298">
        <v>144.49697649999999</v>
      </c>
      <c r="N138" s="298">
        <v>158.84284489000001</v>
      </c>
      <c r="O138" s="306">
        <v>201.74223139</v>
      </c>
      <c r="P138" s="306" cm="1">
        <f t="array" ref="P138">INDEX($E$2:$E$676, MATCH($B138, $B$2:$B$676, 0) * MATCH("Brazil", $A$2:$A$676, 0))</f>
        <v>12731.633698920001</v>
      </c>
      <c r="Q138" s="306">
        <f t="shared" si="11"/>
        <v>12625.874431300001</v>
      </c>
      <c r="R138" s="336">
        <f>INDEX('Base GDP'!$A$1:$E$76,MATCH(A138,'Base GDP'!$A$1:$A$76,0),4)</f>
        <v>54050.698328470004</v>
      </c>
      <c r="S138" s="336">
        <f>INDEX('Base GDP'!$A$1:$E$76,MATCH(A138,'Base GDP'!$A$1:$A$76,0),5)</f>
        <v>72367.878986030002</v>
      </c>
      <c r="T138" s="335">
        <f t="shared" si="12"/>
        <v>1.940868220841163E-3</v>
      </c>
      <c r="U138" s="335">
        <f t="shared" si="13"/>
        <v>1.6534710311614767E-3</v>
      </c>
      <c r="V138" s="335">
        <f t="shared" si="14"/>
        <v>-2.8739718967968624E-4</v>
      </c>
    </row>
    <row r="139" spans="1:22" x14ac:dyDescent="0.45">
      <c r="A139" s="293" t="s">
        <v>165</v>
      </c>
      <c r="B139" s="297" t="s">
        <v>2</v>
      </c>
      <c r="C139" s="293" t="str">
        <f t="shared" si="10"/>
        <v>EcuadorManufacture of basic pharmaceutical products and pharmaceutical preparations (C21)</v>
      </c>
      <c r="D139" s="297" t="s">
        <v>958</v>
      </c>
      <c r="E139" s="298">
        <v>95.175542210000003</v>
      </c>
      <c r="F139" s="298">
        <v>119.24184533</v>
      </c>
      <c r="G139" s="302">
        <v>0.25286226441346593</v>
      </c>
      <c r="H139" s="303">
        <v>10671.14604055</v>
      </c>
      <c r="I139" s="298">
        <v>122.80345603000001</v>
      </c>
      <c r="J139" s="298">
        <v>119.24184533</v>
      </c>
      <c r="K139" s="302">
        <v>-2.9002528227950908E-2</v>
      </c>
      <c r="L139" s="298">
        <v>133.06071811000001</v>
      </c>
      <c r="M139" s="298">
        <v>145.60048673</v>
      </c>
      <c r="N139" s="298">
        <v>155.31333455999999</v>
      </c>
      <c r="O139" s="306">
        <v>179.89832283000001</v>
      </c>
      <c r="P139" s="306" cm="1">
        <f t="array" ref="P139">INDEX($E$2:$E$676, MATCH($B139, $B$2:$B$676, 0) * MATCH("Brazil", $A$2:$A$676, 0))</f>
        <v>12731.633698920001</v>
      </c>
      <c r="Q139" s="306">
        <f t="shared" si="11"/>
        <v>12636.458156710001</v>
      </c>
      <c r="R139" s="336">
        <f>INDEX('Base GDP'!$A$1:$E$76,MATCH(A139,'Base GDP'!$A$1:$A$76,0),4)</f>
        <v>105544.34131757999</v>
      </c>
      <c r="S139" s="336">
        <f>INDEX('Base GDP'!$A$1:$E$76,MATCH(A139,'Base GDP'!$A$1:$A$76,0),5)</f>
        <v>103911.06087433999</v>
      </c>
      <c r="T139" s="335">
        <f t="shared" si="12"/>
        <v>1.1635247754352629E-3</v>
      </c>
      <c r="U139" s="335">
        <f t="shared" si="13"/>
        <v>1.1475375607434091E-3</v>
      </c>
      <c r="V139" s="335">
        <f t="shared" si="14"/>
        <v>-1.598721469185378E-5</v>
      </c>
    </row>
    <row r="140" spans="1:22" x14ac:dyDescent="0.45">
      <c r="A140" s="293" t="s">
        <v>167</v>
      </c>
      <c r="B140" s="297" t="s">
        <v>2</v>
      </c>
      <c r="C140" s="293" t="str">
        <f t="shared" si="10"/>
        <v>Hong Kong SARManufacture of basic pharmaceutical products and pharmaceutical preparations (C21)</v>
      </c>
      <c r="D140" s="297" t="s">
        <v>958</v>
      </c>
      <c r="E140" s="298">
        <v>98.837253219999994</v>
      </c>
      <c r="F140" s="298">
        <v>98.786354160000002</v>
      </c>
      <c r="G140" s="302">
        <v>-5.1497849587844868E-4</v>
      </c>
      <c r="H140" s="303">
        <v>10667.484329540001</v>
      </c>
      <c r="I140" s="298">
        <v>99.941691899999995</v>
      </c>
      <c r="J140" s="298">
        <v>98.786354160000002</v>
      </c>
      <c r="K140" s="302">
        <v>-1.1560117885096477E-2</v>
      </c>
      <c r="L140" s="298">
        <v>114.37581444</v>
      </c>
      <c r="M140" s="298">
        <v>112.55558123</v>
      </c>
      <c r="N140" s="298">
        <v>110.94912552</v>
      </c>
      <c r="O140" s="306">
        <v>109.35896167999999</v>
      </c>
      <c r="P140" s="306" cm="1">
        <f t="array" ref="P140">INDEX($E$2:$E$676, MATCH($B140, $B$2:$B$676, 0) * MATCH("Brazil", $A$2:$A$676, 0))</f>
        <v>12731.633698920001</v>
      </c>
      <c r="Q140" s="306">
        <f t="shared" si="11"/>
        <v>12632.796445700002</v>
      </c>
      <c r="R140" s="336">
        <f>INDEX('Base GDP'!$A$1:$E$76,MATCH(A140,'Base GDP'!$A$1:$A$76,0),4)</f>
        <v>338559.97086627001</v>
      </c>
      <c r="S140" s="336">
        <f>INDEX('Base GDP'!$A$1:$E$76,MATCH(A140,'Base GDP'!$A$1:$A$76,0),5)</f>
        <v>361197.76240428002</v>
      </c>
      <c r="T140" s="335">
        <f t="shared" si="12"/>
        <v>2.9519642160967877E-4</v>
      </c>
      <c r="U140" s="335">
        <f t="shared" si="13"/>
        <v>2.7349658398334928E-4</v>
      </c>
      <c r="V140" s="335">
        <f t="shared" si="14"/>
        <v>-2.1699837626329487E-5</v>
      </c>
    </row>
    <row r="141" spans="1:22" x14ac:dyDescent="0.45">
      <c r="A141" s="293" t="s">
        <v>166</v>
      </c>
      <c r="B141" s="297" t="s">
        <v>2</v>
      </c>
      <c r="C141" s="293" t="str">
        <f t="shared" si="10"/>
        <v>HondurasManufacture of basic pharmaceutical products and pharmaceutical preparations (C21)</v>
      </c>
      <c r="D141" s="297" t="s">
        <v>958</v>
      </c>
      <c r="E141" s="298">
        <v>59.808277220000001</v>
      </c>
      <c r="F141" s="298">
        <v>81.911899939999998</v>
      </c>
      <c r="G141" s="302">
        <v>0.36957464330051804</v>
      </c>
      <c r="H141" s="303">
        <v>10706.51330554</v>
      </c>
      <c r="I141" s="298">
        <v>72.606207350000005</v>
      </c>
      <c r="J141" s="298">
        <v>81.911899939999998</v>
      </c>
      <c r="K141" s="302">
        <v>0.12816662554954394</v>
      </c>
      <c r="L141" s="298">
        <v>91.131931179999995</v>
      </c>
      <c r="M141" s="298">
        <v>102.74563655</v>
      </c>
      <c r="N141" s="298">
        <v>112.59047447</v>
      </c>
      <c r="O141" s="306">
        <v>139.13862759</v>
      </c>
      <c r="P141" s="306" cm="1">
        <f t="array" ref="P141">INDEX($E$2:$E$676, MATCH($B141, $B$2:$B$676, 0) * MATCH("Brazil", $A$2:$A$676, 0))</f>
        <v>12731.633698920001</v>
      </c>
      <c r="Q141" s="306">
        <f t="shared" si="11"/>
        <v>12671.825421700001</v>
      </c>
      <c r="R141" s="336">
        <f>INDEX('Base GDP'!$A$1:$E$76,MATCH(A141,'Base GDP'!$A$1:$A$76,0),4)</f>
        <v>21608.112082880001</v>
      </c>
      <c r="S141" s="336">
        <f>INDEX('Base GDP'!$A$1:$E$76,MATCH(A141,'Base GDP'!$A$1:$A$76,0),5)</f>
        <v>25703.55773198</v>
      </c>
      <c r="T141" s="335">
        <f t="shared" si="12"/>
        <v>3.3601365575813328E-3</v>
      </c>
      <c r="U141" s="335">
        <f t="shared" si="13"/>
        <v>3.186792303000389E-3</v>
      </c>
      <c r="V141" s="335">
        <f t="shared" si="14"/>
        <v>-1.7334425458094375E-4</v>
      </c>
    </row>
    <row r="142" spans="1:22" x14ac:dyDescent="0.45">
      <c r="A142" s="293" t="s">
        <v>157</v>
      </c>
      <c r="B142" s="297" t="s">
        <v>2</v>
      </c>
      <c r="C142" s="293" t="str">
        <f t="shared" si="10"/>
        <v>SlovakiaManufacture of basic pharmaceutical products and pharmaceutical preparations (C21)</v>
      </c>
      <c r="D142" s="297" t="s">
        <v>958</v>
      </c>
      <c r="E142" s="298">
        <v>119.03337088000001</v>
      </c>
      <c r="F142" s="298">
        <v>70.007045450000007</v>
      </c>
      <c r="G142" s="302">
        <v>-0.41187042816274144</v>
      </c>
      <c r="H142" s="303">
        <v>10647.288211879999</v>
      </c>
      <c r="I142" s="298">
        <v>48.939730150000003</v>
      </c>
      <c r="J142" s="298">
        <v>70.007045450000007</v>
      </c>
      <c r="K142" s="302">
        <v>0.43047469275839489</v>
      </c>
      <c r="L142" s="298">
        <v>95.429011489999994</v>
      </c>
      <c r="M142" s="298">
        <v>100.21857341</v>
      </c>
      <c r="N142" s="298">
        <v>102.24581501</v>
      </c>
      <c r="O142" s="306">
        <v>111.39498843</v>
      </c>
      <c r="P142" s="306" cm="1">
        <f t="array" ref="P142">INDEX($E$2:$E$676, MATCH($B142, $B$2:$B$676, 0) * MATCH("Brazil", $A$2:$A$676, 0))</f>
        <v>12731.633698920001</v>
      </c>
      <c r="Q142" s="306">
        <f t="shared" si="11"/>
        <v>12612.60032804</v>
      </c>
      <c r="R142" s="336">
        <f>INDEX('Base GDP'!$A$1:$E$76,MATCH(A142,'Base GDP'!$A$1:$A$76,0),4)</f>
        <v>94460.171576160006</v>
      </c>
      <c r="S142" s="336">
        <f>INDEX('Base GDP'!$A$1:$E$76,MATCH(A142,'Base GDP'!$A$1:$A$76,0),5)</f>
        <v>107076.6714533</v>
      </c>
      <c r="T142" s="335">
        <f t="shared" si="12"/>
        <v>5.1809910286412689E-4</v>
      </c>
      <c r="U142" s="335">
        <f t="shared" si="13"/>
        <v>6.5380296660167109E-4</v>
      </c>
      <c r="V142" s="335">
        <f t="shared" si="14"/>
        <v>1.357038637375442E-4</v>
      </c>
    </row>
    <row r="143" spans="1:22" x14ac:dyDescent="0.45">
      <c r="A143" s="293" t="s">
        <v>168</v>
      </c>
      <c r="B143" s="297" t="s">
        <v>2</v>
      </c>
      <c r="C143" s="293" t="str">
        <f t="shared" si="10"/>
        <v>TunisiaManufacture of basic pharmaceutical products and pharmaceutical preparations (C21)</v>
      </c>
      <c r="D143" s="297" t="s">
        <v>958</v>
      </c>
      <c r="E143" s="298">
        <v>49.1022119</v>
      </c>
      <c r="F143" s="298">
        <v>66.576954029999996</v>
      </c>
      <c r="G143" s="302">
        <v>0.35588502948886491</v>
      </c>
      <c r="H143" s="303">
        <v>10717.219370859999</v>
      </c>
      <c r="I143" s="298">
        <v>68.533606059999997</v>
      </c>
      <c r="J143" s="298">
        <v>66.576954029999996</v>
      </c>
      <c r="K143" s="302">
        <v>-2.8550256472525071E-2</v>
      </c>
      <c r="L143" s="298">
        <v>71.594660349999998</v>
      </c>
      <c r="M143" s="298">
        <v>77.965202189999999</v>
      </c>
      <c r="N143" s="298">
        <v>83.084421300000002</v>
      </c>
      <c r="O143" s="306">
        <v>95.125022110000003</v>
      </c>
      <c r="P143" s="306" cm="1">
        <f t="array" ref="P143">INDEX($E$2:$E$676, MATCH($B143, $B$2:$B$676, 0) * MATCH("Brazil", $A$2:$A$676, 0))</f>
        <v>12731.633698920001</v>
      </c>
      <c r="Q143" s="306">
        <f t="shared" si="11"/>
        <v>12682.53148702</v>
      </c>
      <c r="R143" s="336">
        <f>INDEX('Base GDP'!$A$1:$E$76,MATCH(A143,'Base GDP'!$A$1:$A$76,0),4)</f>
        <v>38884.65391288</v>
      </c>
      <c r="S143" s="336">
        <f>INDEX('Base GDP'!$A$1:$E$76,MATCH(A143,'Base GDP'!$A$1:$A$76,0),5)</f>
        <v>40072.692608359997</v>
      </c>
      <c r="T143" s="335">
        <f t="shared" si="12"/>
        <v>1.7624846607493965E-3</v>
      </c>
      <c r="U143" s="335">
        <f t="shared" si="13"/>
        <v>1.6614045549839258E-3</v>
      </c>
      <c r="V143" s="335">
        <f t="shared" si="14"/>
        <v>-1.0108010576547074E-4</v>
      </c>
    </row>
    <row r="144" spans="1:22" x14ac:dyDescent="0.45">
      <c r="A144" s="293" t="s">
        <v>173</v>
      </c>
      <c r="B144" s="297" t="s">
        <v>2</v>
      </c>
      <c r="C144" s="293" t="str">
        <f t="shared" si="10"/>
        <v>PanamaManufacture of basic pharmaceutical products and pharmaceutical preparations (C21)</v>
      </c>
      <c r="D144" s="297" t="s">
        <v>958</v>
      </c>
      <c r="E144" s="298">
        <v>36.499621380000001</v>
      </c>
      <c r="F144" s="298">
        <v>65.541293800000005</v>
      </c>
      <c r="G144" s="302">
        <v>0.79567051169230529</v>
      </c>
      <c r="H144" s="303">
        <v>10729.821961379999</v>
      </c>
      <c r="I144" s="298">
        <v>61.569161389999998</v>
      </c>
      <c r="J144" s="298">
        <v>65.541293800000005</v>
      </c>
      <c r="K144" s="302">
        <v>6.4514966914023253E-2</v>
      </c>
      <c r="L144" s="298">
        <v>69.838034809999996</v>
      </c>
      <c r="M144" s="298">
        <v>74.537666000000002</v>
      </c>
      <c r="N144" s="298">
        <v>78.131532710000002</v>
      </c>
      <c r="O144" s="306">
        <v>86.410587829999997</v>
      </c>
      <c r="P144" s="306" cm="1">
        <f t="array" ref="P144">INDEX($E$2:$E$676, MATCH($B144, $B$2:$B$676, 0) * MATCH("Brazil", $A$2:$A$676, 0))</f>
        <v>12731.633698920001</v>
      </c>
      <c r="Q144" s="306">
        <f t="shared" si="11"/>
        <v>12695.13407754</v>
      </c>
      <c r="R144" s="336">
        <f>INDEX('Base GDP'!$A$1:$E$76,MATCH(A144,'Base GDP'!$A$1:$A$76,0),4)</f>
        <v>58921.61186117</v>
      </c>
      <c r="S144" s="336">
        <f>INDEX('Base GDP'!$A$1:$E$76,MATCH(A144,'Base GDP'!$A$1:$A$76,0),5)</f>
        <v>65983.988595749994</v>
      </c>
      <c r="T144" s="335">
        <f t="shared" si="12"/>
        <v>1.0449334199320295E-3</v>
      </c>
      <c r="U144" s="335">
        <f t="shared" si="13"/>
        <v>9.9329087548098759E-4</v>
      </c>
      <c r="V144" s="335">
        <f t="shared" si="14"/>
        <v>-5.164254445104194E-5</v>
      </c>
    </row>
    <row r="145" spans="1:22" x14ac:dyDescent="0.45">
      <c r="A145" s="293" t="s">
        <v>178</v>
      </c>
      <c r="B145" s="297" t="s">
        <v>2</v>
      </c>
      <c r="C145" s="293" t="str">
        <f t="shared" si="10"/>
        <v>SenegalManufacture of basic pharmaceutical products and pharmaceutical preparations (C21)</v>
      </c>
      <c r="D145" s="297" t="s">
        <v>958</v>
      </c>
      <c r="E145" s="298">
        <v>28.093749410000001</v>
      </c>
      <c r="F145" s="298">
        <v>53.493321979999997</v>
      </c>
      <c r="G145" s="302">
        <v>0.90410048866453518</v>
      </c>
      <c r="H145" s="303">
        <v>10738.22783335</v>
      </c>
      <c r="I145" s="298">
        <v>35.337754050000001</v>
      </c>
      <c r="J145" s="298">
        <v>53.493321979999997</v>
      </c>
      <c r="K145" s="302">
        <v>0.51377254774911196</v>
      </c>
      <c r="L145" s="298">
        <v>79.846008760000004</v>
      </c>
      <c r="M145" s="298">
        <v>95.051115859999996</v>
      </c>
      <c r="N145" s="298">
        <v>107.91529441</v>
      </c>
      <c r="O145" s="306">
        <v>145.26184838</v>
      </c>
      <c r="P145" s="306" cm="1">
        <f t="array" ref="P145">INDEX($E$2:$E$676, MATCH($B145, $B$2:$B$676, 0) * MATCH("Brazil", $A$2:$A$676, 0))</f>
        <v>12731.633698920001</v>
      </c>
      <c r="Q145" s="306">
        <f t="shared" si="11"/>
        <v>12703.539949510001</v>
      </c>
      <c r="R145" s="336">
        <f>INDEX('Base GDP'!$A$1:$E$76,MATCH(A145,'Base GDP'!$A$1:$A$76,0),4)</f>
        <v>18437.455260710001</v>
      </c>
      <c r="S145" s="336">
        <f>INDEX('Base GDP'!$A$1:$E$76,MATCH(A145,'Base GDP'!$A$1:$A$76,0),5)</f>
        <v>25150.80803964</v>
      </c>
      <c r="T145" s="335">
        <f t="shared" si="12"/>
        <v>1.9166285992462493E-3</v>
      </c>
      <c r="U145" s="335">
        <f t="shared" si="13"/>
        <v>2.126902718023595E-3</v>
      </c>
      <c r="V145" s="335">
        <f t="shared" si="14"/>
        <v>2.1027411877734569E-4</v>
      </c>
    </row>
    <row r="146" spans="1:22" x14ac:dyDescent="0.45">
      <c r="A146" s="293" t="s">
        <v>153</v>
      </c>
      <c r="B146" s="297" t="s">
        <v>2</v>
      </c>
      <c r="C146" s="293" t="str">
        <f t="shared" si="10"/>
        <v>OmanManufacture of basic pharmaceutical products and pharmaceutical preparations (C21)</v>
      </c>
      <c r="D146" s="297" t="s">
        <v>958</v>
      </c>
      <c r="E146" s="298">
        <v>21.392817560000001</v>
      </c>
      <c r="F146" s="298">
        <v>52.65971751</v>
      </c>
      <c r="G146" s="302">
        <v>1.4615606318478789</v>
      </c>
      <c r="H146" s="303">
        <v>10744.9287652</v>
      </c>
      <c r="I146" s="298">
        <v>46.945610709999997</v>
      </c>
      <c r="J146" s="298">
        <v>52.65971751</v>
      </c>
      <c r="K146" s="302">
        <v>0.1217175943305564</v>
      </c>
      <c r="L146" s="298">
        <v>58.031781100000003</v>
      </c>
      <c r="M146" s="298">
        <v>62.799724329999997</v>
      </c>
      <c r="N146" s="298">
        <v>65.085493510000006</v>
      </c>
      <c r="O146" s="306">
        <v>71.034271939999996</v>
      </c>
      <c r="P146" s="306" cm="1">
        <f t="array" ref="P146">INDEX($E$2:$E$676, MATCH($B146, $B$2:$B$676, 0) * MATCH("Brazil", $A$2:$A$676, 0))</f>
        <v>12731.633698920001</v>
      </c>
      <c r="Q146" s="306">
        <f t="shared" si="11"/>
        <v>12710.240881360001</v>
      </c>
      <c r="R146" s="336">
        <f>INDEX('Base GDP'!$A$1:$E$76,MATCH(A146,'Base GDP'!$A$1:$A$76,0),4)</f>
        <v>83456.391863790006</v>
      </c>
      <c r="S146" s="336">
        <f>INDEX('Base GDP'!$A$1:$E$76,MATCH(A146,'Base GDP'!$A$1:$A$76,0),5)</f>
        <v>87715.792114070005</v>
      </c>
      <c r="T146" s="335">
        <f t="shared" si="12"/>
        <v>5.6251665883927003E-4</v>
      </c>
      <c r="U146" s="335">
        <f t="shared" si="13"/>
        <v>6.0034477533439667E-4</v>
      </c>
      <c r="V146" s="335">
        <f t="shared" si="14"/>
        <v>3.7828116495126646E-5</v>
      </c>
    </row>
    <row r="147" spans="1:22" x14ac:dyDescent="0.45">
      <c r="A147" s="293" t="s">
        <v>174</v>
      </c>
      <c r="B147" s="297" t="s">
        <v>2</v>
      </c>
      <c r="C147" s="293" t="str">
        <f t="shared" si="10"/>
        <v>Sri LankaManufacture of basic pharmaceutical products and pharmaceutical preparations (C21)</v>
      </c>
      <c r="D147" s="297" t="s">
        <v>958</v>
      </c>
      <c r="E147" s="298">
        <v>31.09935295</v>
      </c>
      <c r="F147" s="298">
        <v>48.920808319999999</v>
      </c>
      <c r="G147" s="302">
        <v>0.57304907271390659</v>
      </c>
      <c r="H147" s="303">
        <v>10735.22222981</v>
      </c>
      <c r="I147" s="298">
        <v>40.17337809</v>
      </c>
      <c r="J147" s="298">
        <v>48.920808319999999</v>
      </c>
      <c r="K147" s="302">
        <v>0.21774196360592879</v>
      </c>
      <c r="L147" s="298">
        <v>62.336642449999999</v>
      </c>
      <c r="M147" s="298">
        <v>75.060734100000005</v>
      </c>
      <c r="N147" s="298">
        <v>85.144102489999995</v>
      </c>
      <c r="O147" s="306">
        <v>110.19270375000001</v>
      </c>
      <c r="P147" s="306" cm="1">
        <f t="array" ref="P147">INDEX($E$2:$E$676, MATCH($B147, $B$2:$B$676, 0) * MATCH("Brazil", $A$2:$A$676, 0))</f>
        <v>12731.633698920001</v>
      </c>
      <c r="Q147" s="306">
        <f t="shared" si="11"/>
        <v>12700.534345970002</v>
      </c>
      <c r="R147" s="336">
        <f>INDEX('Base GDP'!$A$1:$E$76,MATCH(A147,'Base GDP'!$A$1:$A$76,0),4)</f>
        <v>77969.257644440004</v>
      </c>
      <c r="S147" s="336">
        <f>INDEX('Base GDP'!$A$1:$E$76,MATCH(A147,'Base GDP'!$A$1:$A$76,0),5)</f>
        <v>87884.425158479993</v>
      </c>
      <c r="T147" s="335">
        <f t="shared" si="12"/>
        <v>5.1524638432753846E-4</v>
      </c>
      <c r="U147" s="335">
        <f t="shared" si="13"/>
        <v>5.5664935205279218E-4</v>
      </c>
      <c r="V147" s="335">
        <f t="shared" si="14"/>
        <v>4.1402967725253726E-5</v>
      </c>
    </row>
    <row r="148" spans="1:22" x14ac:dyDescent="0.45">
      <c r="A148" s="293" t="s">
        <v>171</v>
      </c>
      <c r="B148" s="297" t="s">
        <v>2</v>
      </c>
      <c r="C148" s="293" t="str">
        <f t="shared" si="10"/>
        <v>CameroonManufacture of basic pharmaceutical products and pharmaceutical preparations (C21)</v>
      </c>
      <c r="D148" s="297" t="s">
        <v>958</v>
      </c>
      <c r="E148" s="298">
        <v>16.882146729999999</v>
      </c>
      <c r="F148" s="298">
        <v>27.735354910000002</v>
      </c>
      <c r="G148" s="302">
        <v>0.64288081092871785</v>
      </c>
      <c r="H148" s="303">
        <v>10749.439436029999</v>
      </c>
      <c r="I148" s="298">
        <v>21.739225430000001</v>
      </c>
      <c r="J148" s="298">
        <v>27.735354910000002</v>
      </c>
      <c r="K148" s="302">
        <v>0.27582075080399959</v>
      </c>
      <c r="L148" s="298">
        <v>36.098338040000002</v>
      </c>
      <c r="M148" s="298">
        <v>43.028156379999999</v>
      </c>
      <c r="N148" s="298">
        <v>47.542627250000002</v>
      </c>
      <c r="O148" s="306">
        <v>59.032760879999998</v>
      </c>
      <c r="P148" s="306" cm="1">
        <f t="array" ref="P148">INDEX($E$2:$E$676, MATCH($B148, $B$2:$B$676, 0) * MATCH("Brazil", $A$2:$A$676, 0))</f>
        <v>12731.633698920001</v>
      </c>
      <c r="Q148" s="306">
        <f t="shared" si="11"/>
        <v>12714.75155219</v>
      </c>
      <c r="R148" s="336">
        <f>INDEX('Base GDP'!$A$1:$E$76,MATCH(A148,'Base GDP'!$A$1:$A$76,0),4)</f>
        <v>34069.891642009999</v>
      </c>
      <c r="S148" s="336">
        <f>INDEX('Base GDP'!$A$1:$E$76,MATCH(A148,'Base GDP'!$A$1:$A$76,0),5)</f>
        <v>41316.84413338</v>
      </c>
      <c r="T148" s="335">
        <f t="shared" si="12"/>
        <v>6.3807732817072933E-4</v>
      </c>
      <c r="U148" s="335">
        <f t="shared" si="13"/>
        <v>6.7128444806830074E-4</v>
      </c>
      <c r="V148" s="335">
        <f t="shared" si="14"/>
        <v>3.3207119897571413E-5</v>
      </c>
    </row>
    <row r="149" spans="1:22" x14ac:dyDescent="0.45">
      <c r="A149" s="293" t="s">
        <v>155</v>
      </c>
      <c r="B149" s="297" t="s">
        <v>2</v>
      </c>
      <c r="C149" s="293" t="str">
        <f t="shared" si="10"/>
        <v>QatarManufacture of basic pharmaceutical products and pharmaceutical preparations (C21)</v>
      </c>
      <c r="D149" s="297" t="s">
        <v>958</v>
      </c>
      <c r="E149" s="298">
        <v>8.0698904999999996</v>
      </c>
      <c r="F149" s="298">
        <v>7.9648584199999997</v>
      </c>
      <c r="G149" s="302">
        <v>-1.3015304234921143E-2</v>
      </c>
      <c r="H149" s="303">
        <v>10758.251692259999</v>
      </c>
      <c r="I149" s="298">
        <v>8.6297102199999998</v>
      </c>
      <c r="J149" s="298">
        <v>7.9648584199999997</v>
      </c>
      <c r="K149" s="302">
        <v>-7.7042192964852596E-2</v>
      </c>
      <c r="L149" s="298">
        <v>9.1453848799999999</v>
      </c>
      <c r="M149" s="298">
        <v>10.07279471</v>
      </c>
      <c r="N149" s="298">
        <v>10.427115089999999</v>
      </c>
      <c r="O149" s="306">
        <v>11.092210939999999</v>
      </c>
      <c r="P149" s="306" cm="1">
        <f t="array" ref="P149">INDEX($E$2:$E$676, MATCH($B149, $B$2:$B$676, 0) * MATCH("Brazil", $A$2:$A$676, 0))</f>
        <v>12731.633698920001</v>
      </c>
      <c r="Q149" s="306">
        <f t="shared" si="11"/>
        <v>12723.56380842</v>
      </c>
      <c r="R149" s="336">
        <f>INDEX('Base GDP'!$A$1:$E$76,MATCH(A149,'Base GDP'!$A$1:$A$76,0),4)</f>
        <v>170576.82347613</v>
      </c>
      <c r="S149" s="336">
        <f>INDEX('Base GDP'!$A$1:$E$76,MATCH(A149,'Base GDP'!$A$1:$A$76,0),5)</f>
        <v>172715.39534024999</v>
      </c>
      <c r="T149" s="335">
        <f t="shared" si="12"/>
        <v>5.0591340864121641E-5</v>
      </c>
      <c r="U149" s="335">
        <f t="shared" si="13"/>
        <v>4.6115509299615117E-5</v>
      </c>
      <c r="V149" s="335">
        <f t="shared" si="14"/>
        <v>-4.4758315645065241E-6</v>
      </c>
    </row>
    <row r="150" spans="1:22" x14ac:dyDescent="0.45">
      <c r="A150" s="293" t="s">
        <v>148</v>
      </c>
      <c r="B150" s="297" t="s">
        <v>2</v>
      </c>
      <c r="C150" s="293" t="str">
        <f t="shared" si="10"/>
        <v>BahrainManufacture of basic pharmaceutical products and pharmaceutical preparations (C21)</v>
      </c>
      <c r="D150" s="297" t="s">
        <v>958</v>
      </c>
      <c r="E150" s="298">
        <v>0.91321856000000001</v>
      </c>
      <c r="F150" s="298">
        <v>1.0623265099999999</v>
      </c>
      <c r="G150" s="302">
        <v>0.16327739769108485</v>
      </c>
      <c r="H150" s="303">
        <v>10765.408364200001</v>
      </c>
      <c r="I150" s="298">
        <v>0.97314590000000001</v>
      </c>
      <c r="J150" s="298">
        <v>1.0623265099999999</v>
      </c>
      <c r="K150" s="302">
        <v>9.1641561661000459E-2</v>
      </c>
      <c r="L150" s="298">
        <v>1.18862373</v>
      </c>
      <c r="M150" s="298">
        <v>1.24512896</v>
      </c>
      <c r="N150" s="298">
        <v>1.2921077700000001</v>
      </c>
      <c r="O150" s="306">
        <v>1.39199585</v>
      </c>
      <c r="P150" s="306" cm="1">
        <f t="array" ref="P150">INDEX($E$2:$E$676, MATCH($B150, $B$2:$B$676, 0) * MATCH("Brazil", $A$2:$A$676, 0))</f>
        <v>12731.633698920001</v>
      </c>
      <c r="Q150" s="306">
        <f t="shared" si="11"/>
        <v>12730.720480360002</v>
      </c>
      <c r="R150" s="336">
        <f>INDEX('Base GDP'!$A$1:$E$76,MATCH(A150,'Base GDP'!$A$1:$A$76,0),4)</f>
        <v>33332.328188890002</v>
      </c>
      <c r="S150" s="336">
        <f>INDEX('Base GDP'!$A$1:$E$76,MATCH(A150,'Base GDP'!$A$1:$A$76,0),5)</f>
        <v>36767.801730239997</v>
      </c>
      <c r="T150" s="335">
        <f t="shared" si="12"/>
        <v>2.9195257363521317E-5</v>
      </c>
      <c r="U150" s="335">
        <f t="shared" si="13"/>
        <v>2.889284809013426E-5</v>
      </c>
      <c r="V150" s="335">
        <f t="shared" si="14"/>
        <v>-3.0240927338705671E-7</v>
      </c>
    </row>
    <row r="151" spans="1:22" x14ac:dyDescent="0.45">
      <c r="A151" s="293" t="s">
        <v>179</v>
      </c>
      <c r="B151" s="297" t="s">
        <v>2</v>
      </c>
      <c r="C151" s="293" t="str">
        <f t="shared" si="10"/>
        <v>WorldManufacture of basic pharmaceutical products and pharmaceutical preparations (C21)</v>
      </c>
      <c r="D151" s="297" t="s">
        <v>958</v>
      </c>
      <c r="E151" s="298">
        <v>508635.12197456998</v>
      </c>
      <c r="F151" s="298">
        <v>788072.98515381</v>
      </c>
      <c r="G151" s="302">
        <v>0.54938766732119415</v>
      </c>
      <c r="H151" s="303">
        <v>497868.80039180996</v>
      </c>
      <c r="I151" s="298">
        <v>567267.84838462004</v>
      </c>
      <c r="J151" s="298">
        <v>788072.98515381</v>
      </c>
      <c r="K151" s="302">
        <v>0.38924317215926396</v>
      </c>
      <c r="L151" s="298">
        <v>909280.64597010997</v>
      </c>
      <c r="M151" s="298">
        <v>1025439.0043086</v>
      </c>
      <c r="N151" s="298">
        <v>1120783.8491654999</v>
      </c>
      <c r="O151" s="306">
        <v>1364939.9189511</v>
      </c>
      <c r="P151" s="306" cm="1">
        <f t="array" ref="P151">INDEX($E$2:$E$676, MATCH($B151, $B$2:$B$676, 0) * MATCH("Brazil", $A$2:$A$676, 0))</f>
        <v>12731.633698920001</v>
      </c>
      <c r="Q151" s="306">
        <f t="shared" si="11"/>
        <v>-495903.48827564996</v>
      </c>
      <c r="R151" s="336">
        <f>INDEX('Base GDP'!$A$1:$E$76,MATCH(A151,'Base GDP'!$A$1:$A$76,0),4)</f>
        <v>74892116.540485993</v>
      </c>
      <c r="S151" s="336">
        <f>INDEX('Base GDP'!$A$1:$E$76,MATCH(A151,'Base GDP'!$A$1:$A$76,0),5)</f>
        <v>87029234.955234006</v>
      </c>
      <c r="T151" s="335">
        <f t="shared" si="12"/>
        <v>7.5744667741892467E-3</v>
      </c>
      <c r="U151" s="335">
        <f t="shared" si="13"/>
        <v>9.0552672967788121E-3</v>
      </c>
      <c r="V151" s="335">
        <f t="shared" si="14"/>
        <v>1.4808005225895654E-3</v>
      </c>
    </row>
    <row r="152" spans="1:22" x14ac:dyDescent="0.45">
      <c r="A152" s="293" t="s">
        <v>907</v>
      </c>
      <c r="B152" s="297" t="s">
        <v>1</v>
      </c>
      <c r="C152" s="293" t="str">
        <f t="shared" si="10"/>
        <v>ChinaManufacture of chemicals and chemical products (C20)</v>
      </c>
      <c r="D152" s="297" t="s">
        <v>958</v>
      </c>
      <c r="E152" s="298">
        <v>176784.70289193999</v>
      </c>
      <c r="F152" s="298">
        <v>336023.08165576</v>
      </c>
      <c r="G152" s="302">
        <v>0.90074749771282425</v>
      </c>
      <c r="H152" s="303">
        <v>147787.16277887998</v>
      </c>
      <c r="I152" s="298">
        <v>248519.48457383999</v>
      </c>
      <c r="J152" s="298">
        <v>336023.08165576</v>
      </c>
      <c r="K152" s="302">
        <v>0.35209954355076323</v>
      </c>
      <c r="L152" s="298">
        <v>437735.98305426002</v>
      </c>
      <c r="M152" s="298">
        <v>519469.81999223999</v>
      </c>
      <c r="N152" s="298">
        <v>581108.06145745004</v>
      </c>
      <c r="O152" s="306">
        <v>729891.89074115001</v>
      </c>
      <c r="P152" s="306" cm="1">
        <f t="array" ref="P152">INDEX($E$152:$E$676, MATCH($B152, $B$153:$B$676, 0) * MATCH("Brazil", $A$152:$A$676, 0))</f>
        <v>28997.54011306</v>
      </c>
      <c r="Q152" s="306">
        <f t="shared" si="11"/>
        <v>-147787.16277887998</v>
      </c>
      <c r="R152" s="336">
        <f>INDEX('Base GDP'!$A$1:$E$76,MATCH(A152,'Base GDP'!$A$1:$A$76,0),4)</f>
        <v>11048064.947659001</v>
      </c>
      <c r="S152" s="336">
        <f>INDEX('Base GDP'!$A$1:$E$76,MATCH(A152,'Base GDP'!$A$1:$A$76,0),5)</f>
        <v>15827750.501527</v>
      </c>
      <c r="T152" s="335">
        <f t="shared" si="12"/>
        <v>2.2494390262115478E-2</v>
      </c>
      <c r="U152" s="335">
        <f t="shared" si="13"/>
        <v>2.1229996114946453E-2</v>
      </c>
      <c r="V152" s="335">
        <f t="shared" si="14"/>
        <v>-1.2643941471690255E-3</v>
      </c>
    </row>
    <row r="153" spans="1:22" x14ac:dyDescent="0.45">
      <c r="A153" s="293" t="s">
        <v>141</v>
      </c>
      <c r="B153" s="297" t="s">
        <v>1</v>
      </c>
      <c r="C153" s="293" t="str">
        <f t="shared" si="10"/>
        <v>United StatesManufacture of chemicals and chemical products (C20)</v>
      </c>
      <c r="D153" s="297" t="s">
        <v>958</v>
      </c>
      <c r="E153" s="298">
        <v>204834.42078044001</v>
      </c>
      <c r="F153" s="298">
        <v>212096.14351637001</v>
      </c>
      <c r="G153" s="302">
        <v>3.5451672176297855E-2</v>
      </c>
      <c r="H153" s="303">
        <v>175836.88066738</v>
      </c>
      <c r="I153" s="298">
        <v>168912.38025377001</v>
      </c>
      <c r="J153" s="298">
        <v>212096.14351637001</v>
      </c>
      <c r="K153" s="302">
        <v>0.25565777474523599</v>
      </c>
      <c r="L153" s="298">
        <v>210839.66504391</v>
      </c>
      <c r="M153" s="298">
        <v>214857.12695211</v>
      </c>
      <c r="N153" s="298">
        <v>219622.91559556001</v>
      </c>
      <c r="O153" s="306">
        <v>233292.54187968999</v>
      </c>
      <c r="P153" s="306" cm="1">
        <f t="array" ref="P153">INDEX($E$152:$E$676, MATCH($B153, $B$153:$B$676, 0) * MATCH("Brazil", $A$152:$A$676, 0))</f>
        <v>28997.54011306</v>
      </c>
      <c r="Q153" s="306">
        <f t="shared" si="11"/>
        <v>-175836.88066738</v>
      </c>
      <c r="R153" s="336">
        <f>INDEX('Base GDP'!$A$1:$E$76,MATCH(A153,'Base GDP'!$A$1:$A$76,0),4)</f>
        <v>19553083.060252</v>
      </c>
      <c r="S153" s="336">
        <f>INDEX('Base GDP'!$A$1:$E$76,MATCH(A153,'Base GDP'!$A$1:$A$76,0),5)</f>
        <v>22265681.170655001</v>
      </c>
      <c r="T153" s="335">
        <f t="shared" si="12"/>
        <v>8.638657122934202E-3</v>
      </c>
      <c r="U153" s="335">
        <f t="shared" si="13"/>
        <v>9.5256975023922281E-3</v>
      </c>
      <c r="V153" s="335">
        <f t="shared" si="14"/>
        <v>8.8704037945802616E-4</v>
      </c>
    </row>
    <row r="154" spans="1:22" x14ac:dyDescent="0.45">
      <c r="A154" s="293" t="s">
        <v>100</v>
      </c>
      <c r="B154" s="297" t="s">
        <v>1</v>
      </c>
      <c r="C154" s="293" t="str">
        <f t="shared" si="10"/>
        <v>JapanManufacture of chemicals and chemical products (C20)</v>
      </c>
      <c r="D154" s="297" t="s">
        <v>958</v>
      </c>
      <c r="E154" s="298">
        <v>69526.734414370003</v>
      </c>
      <c r="F154" s="298">
        <v>62463.743102389999</v>
      </c>
      <c r="G154" s="302">
        <v>-0.10158669713847801</v>
      </c>
      <c r="H154" s="303">
        <v>40529.194301310003</v>
      </c>
      <c r="I154" s="298">
        <v>62276.543013080001</v>
      </c>
      <c r="J154" s="298">
        <v>62463.743102389999</v>
      </c>
      <c r="K154" s="302">
        <v>3.0059486325482165E-3</v>
      </c>
      <c r="L154" s="298">
        <v>56480.132002290004</v>
      </c>
      <c r="M154" s="298">
        <v>57343.937937670002</v>
      </c>
      <c r="N154" s="298">
        <v>58274.012677489998</v>
      </c>
      <c r="O154" s="306">
        <v>60394.494879350001</v>
      </c>
      <c r="P154" s="306" cm="1">
        <f t="array" ref="P154">INDEX($E$152:$E$676, MATCH($B154, $B$153:$B$676, 0) * MATCH("Brazil", $A$152:$A$676, 0))</f>
        <v>28997.54011306</v>
      </c>
      <c r="Q154" s="306">
        <f t="shared" si="11"/>
        <v>-40529.194301310003</v>
      </c>
      <c r="R154" s="336">
        <f>INDEX('Base GDP'!$A$1:$E$76,MATCH(A154,'Base GDP'!$A$1:$A$76,0),4)</f>
        <v>4983596.864085</v>
      </c>
      <c r="S154" s="336">
        <f>INDEX('Base GDP'!$A$1:$E$76,MATCH(A154,'Base GDP'!$A$1:$A$76,0),5)</f>
        <v>5032370.4042106001</v>
      </c>
      <c r="T154" s="335">
        <f t="shared" si="12"/>
        <v>1.2496304318249489E-2</v>
      </c>
      <c r="U154" s="335">
        <f t="shared" si="13"/>
        <v>1.2412389805433716E-2</v>
      </c>
      <c r="V154" s="335">
        <f t="shared" si="14"/>
        <v>-8.391451281577339E-5</v>
      </c>
    </row>
    <row r="155" spans="1:22" x14ac:dyDescent="0.45">
      <c r="A155" s="293" t="s">
        <v>98</v>
      </c>
      <c r="B155" s="297" t="s">
        <v>1</v>
      </c>
      <c r="C155" s="293" t="str">
        <f t="shared" si="10"/>
        <v>GermanyManufacture of chemicals and chemical products (C20)</v>
      </c>
      <c r="D155" s="297" t="s">
        <v>958</v>
      </c>
      <c r="E155" s="298">
        <v>48939.904579970003</v>
      </c>
      <c r="F155" s="298">
        <v>53337.76649486</v>
      </c>
      <c r="G155" s="302">
        <v>8.9862494678625504E-2</v>
      </c>
      <c r="H155" s="303">
        <v>19942.364466910003</v>
      </c>
      <c r="I155" s="298">
        <v>50463.587496020002</v>
      </c>
      <c r="J155" s="298">
        <v>53337.76649486</v>
      </c>
      <c r="K155" s="302">
        <v>5.695550279826378E-2</v>
      </c>
      <c r="L155" s="298">
        <v>45289.404629899997</v>
      </c>
      <c r="M155" s="298">
        <v>47062.705042139998</v>
      </c>
      <c r="N155" s="298">
        <v>48193.482459979998</v>
      </c>
      <c r="O155" s="306">
        <v>50103.793272299998</v>
      </c>
      <c r="P155" s="306" cm="1">
        <f t="array" ref="P155">INDEX($E$152:$E$676, MATCH($B155, $B$153:$B$676, 0) * MATCH("Brazil", $A$152:$A$676, 0))</f>
        <v>28997.54011306</v>
      </c>
      <c r="Q155" s="306">
        <f t="shared" si="11"/>
        <v>-19942.364466910003</v>
      </c>
      <c r="R155" s="336">
        <f>INDEX('Base GDP'!$A$1:$E$76,MATCH(A155,'Base GDP'!$A$1:$A$76,0),4)</f>
        <v>3626843.1759532001</v>
      </c>
      <c r="S155" s="336">
        <f>INDEX('Base GDP'!$A$1:$E$76,MATCH(A155,'Base GDP'!$A$1:$A$76,0),5)</f>
        <v>3849084.4984781002</v>
      </c>
      <c r="T155" s="335">
        <f t="shared" si="12"/>
        <v>1.3913914952431671E-2</v>
      </c>
      <c r="U155" s="335">
        <f t="shared" si="13"/>
        <v>1.3857260477380885E-2</v>
      </c>
      <c r="V155" s="335">
        <f t="shared" si="14"/>
        <v>-5.6654475050786635E-5</v>
      </c>
    </row>
    <row r="156" spans="1:22" x14ac:dyDescent="0.45">
      <c r="A156" s="293" t="s">
        <v>104</v>
      </c>
      <c r="B156" s="297" t="s">
        <v>1</v>
      </c>
      <c r="C156" s="293" t="str">
        <f t="shared" si="10"/>
        <v>South KoreaManufacture of chemicals and chemical products (C20)</v>
      </c>
      <c r="D156" s="297" t="s">
        <v>958</v>
      </c>
      <c r="E156" s="298">
        <v>29429.102776200001</v>
      </c>
      <c r="F156" s="298">
        <v>34481.914893939997</v>
      </c>
      <c r="G156" s="302">
        <v>0.17169439911794804</v>
      </c>
      <c r="H156" s="303">
        <v>431.56266314000095</v>
      </c>
      <c r="I156" s="298">
        <v>30385.06636683</v>
      </c>
      <c r="J156" s="298">
        <v>34481.914893939997</v>
      </c>
      <c r="K156" s="302">
        <v>0.13483098827726581</v>
      </c>
      <c r="L156" s="298">
        <v>31753.95623122</v>
      </c>
      <c r="M156" s="298">
        <v>33964.029205569997</v>
      </c>
      <c r="N156" s="298">
        <v>35651.71295021</v>
      </c>
      <c r="O156" s="306">
        <v>39694.222476329996</v>
      </c>
      <c r="P156" s="306" cm="1">
        <f t="array" ref="P156">INDEX($E$152:$E$676, MATCH($B156, $B$153:$B$676, 0) * MATCH("Brazil", $A$152:$A$676, 0))</f>
        <v>28997.54011306</v>
      </c>
      <c r="Q156" s="306">
        <f t="shared" si="11"/>
        <v>-431.56266314000095</v>
      </c>
      <c r="R156" s="336">
        <f>INDEX('Base GDP'!$A$1:$E$76,MATCH(A156,'Base GDP'!$A$1:$A$76,0),4)</f>
        <v>1478297.0807395</v>
      </c>
      <c r="S156" s="336">
        <f>INDEX('Base GDP'!$A$1:$E$76,MATCH(A156,'Base GDP'!$A$1:$A$76,0),5)</f>
        <v>1710728.7967964001</v>
      </c>
      <c r="T156" s="335">
        <f t="shared" si="12"/>
        <v>2.0554100229725304E-2</v>
      </c>
      <c r="U156" s="335">
        <f t="shared" si="13"/>
        <v>2.0156271969299065E-2</v>
      </c>
      <c r="V156" s="335">
        <f t="shared" si="14"/>
        <v>-3.9782826042623898E-4</v>
      </c>
    </row>
    <row r="157" spans="1:22" x14ac:dyDescent="0.45">
      <c r="A157" s="294" t="s">
        <v>18</v>
      </c>
      <c r="B157" s="299" t="s">
        <v>1</v>
      </c>
      <c r="C157" s="293" t="str">
        <f t="shared" si="10"/>
        <v>BrazilManufacture of chemicals and chemical products (C20)</v>
      </c>
      <c r="D157" s="297" t="s">
        <v>958</v>
      </c>
      <c r="E157" s="300">
        <v>28997.54011306</v>
      </c>
      <c r="F157" s="300">
        <v>26985.949431370002</v>
      </c>
      <c r="G157" s="304">
        <v>-6.9371080231181881E-2</v>
      </c>
      <c r="H157" s="305">
        <v>0</v>
      </c>
      <c r="I157" s="300">
        <v>25914.750597689999</v>
      </c>
      <c r="J157" s="300">
        <v>26985.949431370002</v>
      </c>
      <c r="K157" s="304">
        <v>4.1335486893533391E-2</v>
      </c>
      <c r="L157" s="300">
        <v>27459.82358339</v>
      </c>
      <c r="M157" s="300">
        <v>30570.485063249998</v>
      </c>
      <c r="N157" s="300">
        <v>33008.315550140003</v>
      </c>
      <c r="O157" s="307">
        <v>38661.454599390003</v>
      </c>
      <c r="P157" s="306" cm="1">
        <f t="array" ref="P157">INDEX($E$152:$E$676, MATCH($B157, $B$153:$B$676, 0) * MATCH("Brazil", $A$152:$A$676, 0))</f>
        <v>28997.54011306</v>
      </c>
      <c r="Q157" s="306">
        <f t="shared" si="11"/>
        <v>0</v>
      </c>
      <c r="R157" s="336">
        <f>INDEX('Base GDP'!$A$1:$E$76,MATCH(A157,'Base GDP'!$A$1:$A$76,0),4)</f>
        <v>1855726.8356911</v>
      </c>
      <c r="S157" s="336">
        <f>INDEX('Base GDP'!$A$1:$E$76,MATCH(A157,'Base GDP'!$A$1:$A$76,0),5)</f>
        <v>1898091.4722179</v>
      </c>
      <c r="T157" s="335">
        <f t="shared" si="12"/>
        <v>1.3964744217345419E-2</v>
      </c>
      <c r="U157" s="335">
        <f t="shared" si="13"/>
        <v>1.4217412504275783E-2</v>
      </c>
      <c r="V157" s="335">
        <f t="shared" si="14"/>
        <v>2.5266828693036418E-4</v>
      </c>
    </row>
    <row r="158" spans="1:22" x14ac:dyDescent="0.45">
      <c r="A158" s="293" t="s">
        <v>70</v>
      </c>
      <c r="B158" s="297" t="s">
        <v>1</v>
      </c>
      <c r="C158" s="293" t="str">
        <f t="shared" si="10"/>
        <v>IndiaManufacture of chemicals and chemical products (C20)</v>
      </c>
      <c r="D158" s="297" t="s">
        <v>958</v>
      </c>
      <c r="E158" s="298">
        <v>17684.31559423</v>
      </c>
      <c r="F158" s="298">
        <v>25466.58932495</v>
      </c>
      <c r="G158" s="302">
        <v>0.4400664356645605</v>
      </c>
      <c r="H158" s="303">
        <v>11313.22451883</v>
      </c>
      <c r="I158" s="298">
        <v>19307.589513949999</v>
      </c>
      <c r="J158" s="298">
        <v>25466.58932495</v>
      </c>
      <c r="K158" s="302">
        <v>0.31899372039943352</v>
      </c>
      <c r="L158" s="298">
        <v>35593.130959180002</v>
      </c>
      <c r="M158" s="298">
        <v>43760.373467570003</v>
      </c>
      <c r="N158" s="298">
        <v>50277.793222549997</v>
      </c>
      <c r="O158" s="306">
        <v>67324.574290510005</v>
      </c>
      <c r="P158" s="306" cm="1">
        <f t="array" ref="P158">INDEX($E$152:$E$676, MATCH($B158, $B$153:$B$676, 0) * MATCH("Brazil", $A$152:$A$676, 0))</f>
        <v>28997.54011306</v>
      </c>
      <c r="Q158" s="306">
        <f t="shared" si="11"/>
        <v>11313.22451883</v>
      </c>
      <c r="R158" s="336">
        <f>INDEX('Base GDP'!$A$1:$E$76,MATCH(A158,'Base GDP'!$A$1:$A$76,0),4)</f>
        <v>2233583.9807687998</v>
      </c>
      <c r="S158" s="336">
        <f>INDEX('Base GDP'!$A$1:$E$76,MATCH(A158,'Base GDP'!$A$1:$A$76,0),5)</f>
        <v>2928405.219999</v>
      </c>
      <c r="T158" s="335">
        <f t="shared" si="12"/>
        <v>8.644219192199043E-3</v>
      </c>
      <c r="U158" s="335">
        <f t="shared" si="13"/>
        <v>8.696402106863713E-3</v>
      </c>
      <c r="V158" s="335">
        <f t="shared" si="14"/>
        <v>5.2182914664669969E-5</v>
      </c>
    </row>
    <row r="159" spans="1:22" x14ac:dyDescent="0.45">
      <c r="A159" s="293" t="s">
        <v>97</v>
      </c>
      <c r="B159" s="297" t="s">
        <v>1</v>
      </c>
      <c r="C159" s="293" t="str">
        <f t="shared" si="10"/>
        <v>FranceManufacture of chemicals and chemical products (C20)</v>
      </c>
      <c r="D159" s="297" t="s">
        <v>958</v>
      </c>
      <c r="E159" s="298">
        <v>16256.82738909</v>
      </c>
      <c r="F159" s="298">
        <v>22875.268881330001</v>
      </c>
      <c r="G159" s="302">
        <v>0.40711765794361909</v>
      </c>
      <c r="H159" s="303">
        <v>12740.71272397</v>
      </c>
      <c r="I159" s="298">
        <v>20642.107364650001</v>
      </c>
      <c r="J159" s="298">
        <v>22875.268881330001</v>
      </c>
      <c r="K159" s="302">
        <v>0.10818476414401035</v>
      </c>
      <c r="L159" s="298">
        <v>22661.03167746</v>
      </c>
      <c r="M159" s="298">
        <v>23521.707065080001</v>
      </c>
      <c r="N159" s="298">
        <v>24341.762607879999</v>
      </c>
      <c r="O159" s="306">
        <v>26514.865352420002</v>
      </c>
      <c r="P159" s="306" cm="1">
        <f t="array" ref="P159">INDEX($E$152:$E$676, MATCH($B159, $B$153:$B$676, 0) * MATCH("Brazil", $A$152:$A$676, 0))</f>
        <v>28997.54011306</v>
      </c>
      <c r="Q159" s="306">
        <f t="shared" si="11"/>
        <v>12740.71272397</v>
      </c>
      <c r="R159" s="336">
        <f>INDEX('Base GDP'!$A$1:$E$76,MATCH(A159,'Base GDP'!$A$1:$A$76,0),4)</f>
        <v>2544956.5086996001</v>
      </c>
      <c r="S159" s="336">
        <f>INDEX('Base GDP'!$A$1:$E$76,MATCH(A159,'Base GDP'!$A$1:$A$76,0),5)</f>
        <v>2682424.2983101001</v>
      </c>
      <c r="T159" s="335">
        <f t="shared" si="12"/>
        <v>8.110986295478002E-3</v>
      </c>
      <c r="U159" s="335">
        <f t="shared" si="13"/>
        <v>8.5278339059712462E-3</v>
      </c>
      <c r="V159" s="335">
        <f t="shared" si="14"/>
        <v>4.168476104932442E-4</v>
      </c>
    </row>
    <row r="160" spans="1:22" x14ac:dyDescent="0.45">
      <c r="A160" s="293" t="s">
        <v>105</v>
      </c>
      <c r="B160" s="297" t="s">
        <v>1</v>
      </c>
      <c r="C160" s="293" t="str">
        <f t="shared" si="10"/>
        <v>Saudi ArabiaManufacture of chemicals and chemical products (C20)</v>
      </c>
      <c r="D160" s="297" t="s">
        <v>958</v>
      </c>
      <c r="E160" s="298">
        <v>16873.551833099998</v>
      </c>
      <c r="F160" s="298">
        <v>22317.157311430001</v>
      </c>
      <c r="G160" s="302">
        <v>0.32261171401100963</v>
      </c>
      <c r="H160" s="303">
        <v>12123.988279960002</v>
      </c>
      <c r="I160" s="298">
        <v>21080.963782160001</v>
      </c>
      <c r="J160" s="298">
        <v>22317.157311430001</v>
      </c>
      <c r="K160" s="302">
        <v>5.8640275750397208E-2</v>
      </c>
      <c r="L160" s="298">
        <v>26253.853507430002</v>
      </c>
      <c r="M160" s="298">
        <v>29078.160586739999</v>
      </c>
      <c r="N160" s="298">
        <v>32455.647976730001</v>
      </c>
      <c r="O160" s="306">
        <v>39051.142913969998</v>
      </c>
      <c r="P160" s="306" cm="1">
        <f t="array" ref="P160">INDEX($E$152:$E$676, MATCH($B160, $B$153:$B$676, 0) * MATCH("Brazil", $A$152:$A$676, 0))</f>
        <v>28997.54011306</v>
      </c>
      <c r="Q160" s="306">
        <f t="shared" si="11"/>
        <v>12123.988279960002</v>
      </c>
      <c r="R160" s="336">
        <f>INDEX('Base GDP'!$A$1:$E$76,MATCH(A160,'Base GDP'!$A$1:$A$76,0),4)</f>
        <v>791157.39281293005</v>
      </c>
      <c r="S160" s="336">
        <f>INDEX('Base GDP'!$A$1:$E$76,MATCH(A160,'Base GDP'!$A$1:$A$76,0),5)</f>
        <v>836861.61444072996</v>
      </c>
      <c r="T160" s="335">
        <f t="shared" si="12"/>
        <v>2.6645726847356423E-2</v>
      </c>
      <c r="U160" s="335">
        <f t="shared" si="13"/>
        <v>2.6667679490048585E-2</v>
      </c>
      <c r="V160" s="335">
        <f t="shared" si="14"/>
        <v>2.1952642692162072E-5</v>
      </c>
    </row>
    <row r="161" spans="1:22" x14ac:dyDescent="0.45">
      <c r="A161" s="293" t="s">
        <v>99</v>
      </c>
      <c r="B161" s="297" t="s">
        <v>1</v>
      </c>
      <c r="C161" s="293" t="str">
        <f t="shared" si="10"/>
        <v>IndonesiaManufacture of chemicals and chemical products (C20)</v>
      </c>
      <c r="D161" s="297" t="s">
        <v>958</v>
      </c>
      <c r="E161" s="298">
        <v>12543.249069019999</v>
      </c>
      <c r="F161" s="298">
        <v>18270.917734940002</v>
      </c>
      <c r="G161" s="302">
        <v>0.45663357511304703</v>
      </c>
      <c r="H161" s="303">
        <v>16454.291044040001</v>
      </c>
      <c r="I161" s="298">
        <v>16872.25095066</v>
      </c>
      <c r="J161" s="298">
        <v>18270.917734940002</v>
      </c>
      <c r="K161" s="302">
        <v>8.2897462132952127E-2</v>
      </c>
      <c r="L161" s="298">
        <v>20226.5913535</v>
      </c>
      <c r="M161" s="298">
        <v>23611.434860820002</v>
      </c>
      <c r="N161" s="298">
        <v>26388.392757270001</v>
      </c>
      <c r="O161" s="306">
        <v>33043.283197639998</v>
      </c>
      <c r="P161" s="306" cm="1">
        <f t="array" ref="P161">INDEX($E$152:$E$676, MATCH($B161, $B$153:$B$676, 0) * MATCH("Brazil", $A$152:$A$676, 0))</f>
        <v>28997.54011306</v>
      </c>
      <c r="Q161" s="306">
        <f t="shared" si="11"/>
        <v>16454.291044040001</v>
      </c>
      <c r="R161" s="336">
        <f>INDEX('Base GDP'!$A$1:$E$76,MATCH(A161,'Base GDP'!$A$1:$A$76,0),4)</f>
        <v>917924.88667253999</v>
      </c>
      <c r="S161" s="336">
        <f>INDEX('Base GDP'!$A$1:$E$76,MATCH(A161,'Base GDP'!$A$1:$A$76,0),5)</f>
        <v>1136354.4627425</v>
      </c>
      <c r="T161" s="335">
        <f t="shared" si="12"/>
        <v>1.8380862307613845E-2</v>
      </c>
      <c r="U161" s="335">
        <f t="shared" si="13"/>
        <v>1.6078537405348516E-2</v>
      </c>
      <c r="V161" s="335">
        <f t="shared" si="14"/>
        <v>-2.3023249022653298E-3</v>
      </c>
    </row>
    <row r="162" spans="1:22" x14ac:dyDescent="0.45">
      <c r="A162" s="293" t="s">
        <v>73</v>
      </c>
      <c r="B162" s="297" t="s">
        <v>1</v>
      </c>
      <c r="C162" s="293" t="str">
        <f t="shared" si="10"/>
        <v>TaiwanManufacture of chemicals and chemical products (C20)</v>
      </c>
      <c r="D162" s="297" t="s">
        <v>958</v>
      </c>
      <c r="E162" s="298">
        <v>16014.7711549</v>
      </c>
      <c r="F162" s="298">
        <v>16715.978325339998</v>
      </c>
      <c r="G162" s="302">
        <v>4.3785025939971245E-2</v>
      </c>
      <c r="H162" s="303">
        <v>12982.768958160001</v>
      </c>
      <c r="I162" s="298">
        <v>15131.698924140001</v>
      </c>
      <c r="J162" s="298">
        <v>16715.978325339998</v>
      </c>
      <c r="K162" s="302">
        <v>0.1046993737545594</v>
      </c>
      <c r="L162" s="298">
        <v>14537.004507580001</v>
      </c>
      <c r="M162" s="298">
        <v>15197.866743529999</v>
      </c>
      <c r="N162" s="298">
        <v>15692.8158719</v>
      </c>
      <c r="O162" s="306">
        <v>17046.277022229999</v>
      </c>
      <c r="P162" s="306" cm="1">
        <f t="array" ref="P162">INDEX($E$152:$E$676, MATCH($B162, $B$153:$B$676, 0) * MATCH("Brazil", $A$152:$A$676, 0))</f>
        <v>28997.54011306</v>
      </c>
      <c r="Q162" s="306">
        <f t="shared" si="11"/>
        <v>12982.768958160001</v>
      </c>
      <c r="R162" s="336">
        <f>INDEX('Base GDP'!$A$1:$E$76,MATCH(A162,'Base GDP'!$A$1:$A$76,0),4)</f>
        <v>546880.06131035998</v>
      </c>
      <c r="S162" s="336">
        <f>INDEX('Base GDP'!$A$1:$E$76,MATCH(A162,'Base GDP'!$A$1:$A$76,0),5)</f>
        <v>674049.24440882006</v>
      </c>
      <c r="T162" s="335">
        <f t="shared" si="12"/>
        <v>2.7669136241470337E-2</v>
      </c>
      <c r="U162" s="335">
        <f t="shared" si="13"/>
        <v>2.479934287293931E-2</v>
      </c>
      <c r="V162" s="335">
        <f t="shared" si="14"/>
        <v>-2.8697933685310276E-3</v>
      </c>
    </row>
    <row r="163" spans="1:22" x14ac:dyDescent="0.45">
      <c r="A163" s="293" t="s">
        <v>106</v>
      </c>
      <c r="B163" s="297" t="s">
        <v>1</v>
      </c>
      <c r="C163" s="293" t="str">
        <f t="shared" si="10"/>
        <v>RussiaManufacture of chemicals and chemical products (C20)</v>
      </c>
      <c r="D163" s="297" t="s">
        <v>958</v>
      </c>
      <c r="E163" s="298">
        <v>10381.454827379999</v>
      </c>
      <c r="F163" s="298">
        <v>16149.809531680001</v>
      </c>
      <c r="G163" s="302">
        <v>0.55564030284913146</v>
      </c>
      <c r="H163" s="303">
        <v>18616.085285680001</v>
      </c>
      <c r="I163" s="298">
        <v>13184.99312168</v>
      </c>
      <c r="J163" s="298">
        <v>16149.809531680001</v>
      </c>
      <c r="K163" s="302">
        <v>0.2248629470367316</v>
      </c>
      <c r="L163" s="298">
        <v>16547.588005329999</v>
      </c>
      <c r="M163" s="298">
        <v>17476.02361977</v>
      </c>
      <c r="N163" s="298">
        <v>18201.435969720002</v>
      </c>
      <c r="O163" s="306">
        <v>19734.863527779999</v>
      </c>
      <c r="P163" s="306" cm="1">
        <f t="array" ref="P163">INDEX($E$152:$E$676, MATCH($B163, $B$153:$B$676, 0) * MATCH("Brazil", $A$152:$A$676, 0))</f>
        <v>28997.54011306</v>
      </c>
      <c r="Q163" s="306">
        <f t="shared" si="11"/>
        <v>18616.085285680001</v>
      </c>
      <c r="R163" s="336">
        <f>INDEX('Base GDP'!$A$1:$E$76,MATCH(A163,'Base GDP'!$A$1:$A$76,0),4)</f>
        <v>1579786.0768998</v>
      </c>
      <c r="S163" s="336">
        <f>INDEX('Base GDP'!$A$1:$E$76,MATCH(A163,'Base GDP'!$A$1:$A$76,0),5)</f>
        <v>1741025.8573970001</v>
      </c>
      <c r="T163" s="335">
        <f t="shared" si="12"/>
        <v>8.3460623653263625E-3</v>
      </c>
      <c r="U163" s="335">
        <f t="shared" si="13"/>
        <v>9.2760308315153386E-3</v>
      </c>
      <c r="V163" s="335">
        <f t="shared" si="14"/>
        <v>9.2996846618897608E-4</v>
      </c>
    </row>
    <row r="164" spans="1:22" x14ac:dyDescent="0.45">
      <c r="A164" s="293" t="s">
        <v>76</v>
      </c>
      <c r="B164" s="297" t="s">
        <v>1</v>
      </c>
      <c r="C164" s="293" t="str">
        <f t="shared" si="10"/>
        <v>United KingdomManufacture of chemicals and chemical products (C20)</v>
      </c>
      <c r="D164" s="297" t="s">
        <v>958</v>
      </c>
      <c r="E164" s="298">
        <v>9297.0282364199993</v>
      </c>
      <c r="F164" s="298">
        <v>14519.21907967</v>
      </c>
      <c r="G164" s="302">
        <v>0.56170538697437644</v>
      </c>
      <c r="H164" s="303">
        <v>19700.511876640001</v>
      </c>
      <c r="I164" s="298">
        <v>16275.832945820001</v>
      </c>
      <c r="J164" s="298">
        <v>14519.21907967</v>
      </c>
      <c r="K164" s="302">
        <v>-0.10792773998095984</v>
      </c>
      <c r="L164" s="298">
        <v>13188.410310380001</v>
      </c>
      <c r="M164" s="298">
        <v>14122.716920209999</v>
      </c>
      <c r="N164" s="298">
        <v>14797.853999839999</v>
      </c>
      <c r="O164" s="306">
        <v>16594.366969980001</v>
      </c>
      <c r="P164" s="306" cm="1">
        <f t="array" ref="P164">INDEX($E$152:$E$676, MATCH($B164, $B$153:$B$676, 0) * MATCH("Brazil", $A$152:$A$676, 0))</f>
        <v>28997.54011306</v>
      </c>
      <c r="Q164" s="306">
        <f t="shared" si="11"/>
        <v>19700.511876640001</v>
      </c>
      <c r="R164" s="336">
        <f>INDEX('Base GDP'!$A$1:$E$76,MATCH(A164,'Base GDP'!$A$1:$A$76,0),4)</f>
        <v>2643868.3114987002</v>
      </c>
      <c r="S164" s="336">
        <f>INDEX('Base GDP'!$A$1:$E$76,MATCH(A164,'Base GDP'!$A$1:$A$76,0),5)</f>
        <v>2777419.6130784</v>
      </c>
      <c r="T164" s="335">
        <f t="shared" si="12"/>
        <v>6.1560679384193313E-3</v>
      </c>
      <c r="U164" s="335">
        <f t="shared" si="13"/>
        <v>5.2275929108088126E-3</v>
      </c>
      <c r="V164" s="335">
        <f t="shared" si="14"/>
        <v>-9.2847502761051869E-4</v>
      </c>
    </row>
    <row r="165" spans="1:22" x14ac:dyDescent="0.45">
      <c r="A165" s="293" t="s">
        <v>66</v>
      </c>
      <c r="B165" s="297" t="s">
        <v>1</v>
      </c>
      <c r="C165" s="293" t="str">
        <f t="shared" si="10"/>
        <v>NetherlandsManufacture of chemicals and chemical products (C20)</v>
      </c>
      <c r="D165" s="297" t="s">
        <v>958</v>
      </c>
      <c r="E165" s="298">
        <v>11370.338766479999</v>
      </c>
      <c r="F165" s="298">
        <v>13484.227916190001</v>
      </c>
      <c r="G165" s="302">
        <v>0.18591259179909314</v>
      </c>
      <c r="H165" s="303">
        <v>17627.201346580001</v>
      </c>
      <c r="I165" s="298">
        <v>10499.183604469999</v>
      </c>
      <c r="J165" s="298">
        <v>13484.227916190001</v>
      </c>
      <c r="K165" s="302">
        <v>0.28431204026655243</v>
      </c>
      <c r="L165" s="298">
        <v>11519.81237166</v>
      </c>
      <c r="M165" s="298">
        <v>11920.86913357</v>
      </c>
      <c r="N165" s="298">
        <v>12230.150501120001</v>
      </c>
      <c r="O165" s="306">
        <v>12915.729496739999</v>
      </c>
      <c r="P165" s="306" cm="1">
        <f t="array" ref="P165">INDEX($E$152:$E$676, MATCH($B165, $B$153:$B$676, 0) * MATCH("Brazil", $A$152:$A$676, 0))</f>
        <v>28997.54011306</v>
      </c>
      <c r="Q165" s="306">
        <f t="shared" si="11"/>
        <v>17627.201346580001</v>
      </c>
      <c r="R165" s="336">
        <f>INDEX('Base GDP'!$A$1:$E$76,MATCH(A165,'Base GDP'!$A$1:$A$76,0),4)</f>
        <v>829203.89806390996</v>
      </c>
      <c r="S165" s="336">
        <f>INDEX('Base GDP'!$A$1:$E$76,MATCH(A165,'Base GDP'!$A$1:$A$76,0),5)</f>
        <v>928325.09368340997</v>
      </c>
      <c r="T165" s="335">
        <f t="shared" si="12"/>
        <v>1.2661763444412543E-2</v>
      </c>
      <c r="U165" s="335">
        <f t="shared" si="13"/>
        <v>1.4525329550973633E-2</v>
      </c>
      <c r="V165" s="335">
        <f t="shared" si="14"/>
        <v>1.8635661065610903E-3</v>
      </c>
    </row>
    <row r="166" spans="1:22" x14ac:dyDescent="0.45">
      <c r="A166" s="293" t="s">
        <v>101</v>
      </c>
      <c r="B166" s="297" t="s">
        <v>1</v>
      </c>
      <c r="C166" s="293" t="str">
        <f t="shared" si="10"/>
        <v>ItalyManufacture of chemicals and chemical products (C20)</v>
      </c>
      <c r="D166" s="297" t="s">
        <v>958</v>
      </c>
      <c r="E166" s="298">
        <v>12295.35332407</v>
      </c>
      <c r="F166" s="298">
        <v>13296.67774617</v>
      </c>
      <c r="G166" s="302">
        <v>8.1439255603965144E-2</v>
      </c>
      <c r="H166" s="303">
        <v>16702.186788990002</v>
      </c>
      <c r="I166" s="298">
        <v>12682.800951949999</v>
      </c>
      <c r="J166" s="298">
        <v>13296.67774617</v>
      </c>
      <c r="K166" s="302">
        <v>4.8402304549738817E-2</v>
      </c>
      <c r="L166" s="298">
        <v>12211.386628079999</v>
      </c>
      <c r="M166" s="298">
        <v>12669.356478969999</v>
      </c>
      <c r="N166" s="298">
        <v>13060.611179130001</v>
      </c>
      <c r="O166" s="306">
        <v>13869.71167613</v>
      </c>
      <c r="P166" s="306" cm="1">
        <f t="array" ref="P166">INDEX($E$152:$E$676, MATCH($B166, $B$153:$B$676, 0) * MATCH("Brazil", $A$152:$A$676, 0))</f>
        <v>28997.54011306</v>
      </c>
      <c r="Q166" s="306">
        <f t="shared" si="11"/>
        <v>16702.186788990002</v>
      </c>
      <c r="R166" s="336">
        <f>INDEX('Base GDP'!$A$1:$E$76,MATCH(A166,'Base GDP'!$A$1:$A$76,0),4)</f>
        <v>1924364.2462229</v>
      </c>
      <c r="S166" s="336">
        <f>INDEX('Base GDP'!$A$1:$E$76,MATCH(A166,'Base GDP'!$A$1:$A$76,0),5)</f>
        <v>1980878.3634254001</v>
      </c>
      <c r="T166" s="335">
        <f t="shared" si="12"/>
        <v>6.5906446645137597E-3</v>
      </c>
      <c r="U166" s="335">
        <f t="shared" si="13"/>
        <v>6.7125160189931837E-3</v>
      </c>
      <c r="V166" s="335">
        <f t="shared" si="14"/>
        <v>1.2187135447942407E-4</v>
      </c>
    </row>
    <row r="167" spans="1:22" x14ac:dyDescent="0.45">
      <c r="A167" s="293" t="s">
        <v>63</v>
      </c>
      <c r="B167" s="297" t="s">
        <v>1</v>
      </c>
      <c r="C167" s="293" t="str">
        <f t="shared" si="10"/>
        <v>CanadaManufacture of chemicals and chemical products (C20)</v>
      </c>
      <c r="D167" s="297" t="s">
        <v>958</v>
      </c>
      <c r="E167" s="298">
        <v>9724.7726268799997</v>
      </c>
      <c r="F167" s="298">
        <v>12708.496352390001</v>
      </c>
      <c r="G167" s="302">
        <v>0.30681681104427727</v>
      </c>
      <c r="H167" s="303">
        <v>19272.767486180001</v>
      </c>
      <c r="I167" s="298">
        <v>10677.52905868</v>
      </c>
      <c r="J167" s="298">
        <v>12708.496352390001</v>
      </c>
      <c r="K167" s="302">
        <v>0.19020948409959915</v>
      </c>
      <c r="L167" s="298">
        <v>12082.514871769999</v>
      </c>
      <c r="M167" s="298">
        <v>12554.082763</v>
      </c>
      <c r="N167" s="298">
        <v>12870.20078318</v>
      </c>
      <c r="O167" s="306">
        <v>13909.764164</v>
      </c>
      <c r="P167" s="306" cm="1">
        <f t="array" ref="P167">INDEX($E$152:$E$676, MATCH($B167, $B$153:$B$676, 0) * MATCH("Brazil", $A$152:$A$676, 0))</f>
        <v>28997.54011306</v>
      </c>
      <c r="Q167" s="306">
        <f t="shared" si="11"/>
        <v>19272.767486180001</v>
      </c>
      <c r="R167" s="336">
        <f>INDEX('Base GDP'!$A$1:$E$76,MATCH(A167,'Base GDP'!$A$1:$A$76,0),4)</f>
        <v>1599989.9756132001</v>
      </c>
      <c r="S167" s="336">
        <f>INDEX('Base GDP'!$A$1:$E$76,MATCH(A167,'Base GDP'!$A$1:$A$76,0),5)</f>
        <v>1743385.5162593001</v>
      </c>
      <c r="T167" s="335">
        <f t="shared" si="12"/>
        <v>6.6734974727499846E-3</v>
      </c>
      <c r="U167" s="335">
        <f t="shared" si="13"/>
        <v>7.2895502651978096E-3</v>
      </c>
      <c r="V167" s="335">
        <f t="shared" si="14"/>
        <v>6.1605279244782499E-4</v>
      </c>
    </row>
    <row r="168" spans="1:22" x14ac:dyDescent="0.45">
      <c r="A168" s="293" t="s">
        <v>77</v>
      </c>
      <c r="B168" s="297" t="s">
        <v>1</v>
      </c>
      <c r="C168" s="293" t="str">
        <f t="shared" si="10"/>
        <v>SpainManufacture of chemicals and chemical products (C20)</v>
      </c>
      <c r="D168" s="297" t="s">
        <v>958</v>
      </c>
      <c r="E168" s="298">
        <v>11387.351345929999</v>
      </c>
      <c r="F168" s="298">
        <v>11016.94434417</v>
      </c>
      <c r="G168" s="302">
        <v>-3.2527933011603061E-2</v>
      </c>
      <c r="H168" s="303">
        <v>17610.188767129999</v>
      </c>
      <c r="I168" s="298">
        <v>9846.9682600399992</v>
      </c>
      <c r="J168" s="298">
        <v>11016.94434417</v>
      </c>
      <c r="K168" s="302">
        <v>0.1188158683193774</v>
      </c>
      <c r="L168" s="298">
        <v>9887.5247493099996</v>
      </c>
      <c r="M168" s="298">
        <v>10419.047634779999</v>
      </c>
      <c r="N168" s="298">
        <v>10742.074534670001</v>
      </c>
      <c r="O168" s="306">
        <v>11444.652197089999</v>
      </c>
      <c r="P168" s="306" cm="1">
        <f t="array" ref="P168">INDEX($E$152:$E$676, MATCH($B168, $B$153:$B$676, 0) * MATCH("Brazil", $A$152:$A$676, 0))</f>
        <v>28997.54011306</v>
      </c>
      <c r="Q168" s="306">
        <f t="shared" si="11"/>
        <v>17610.188767129999</v>
      </c>
      <c r="R168" s="336">
        <f>INDEX('Base GDP'!$A$1:$E$76,MATCH(A168,'Base GDP'!$A$1:$A$76,0),4)</f>
        <v>1259732.1048611</v>
      </c>
      <c r="S168" s="336">
        <f>INDEX('Base GDP'!$A$1:$E$76,MATCH(A168,'Base GDP'!$A$1:$A$76,0),5)</f>
        <v>1317888.2673469</v>
      </c>
      <c r="T168" s="335">
        <f t="shared" si="12"/>
        <v>7.8167161272163829E-3</v>
      </c>
      <c r="U168" s="335">
        <f t="shared" si="13"/>
        <v>8.3595435342547712E-3</v>
      </c>
      <c r="V168" s="335">
        <f t="shared" si="14"/>
        <v>5.428274070383883E-4</v>
      </c>
    </row>
    <row r="169" spans="1:22" x14ac:dyDescent="0.45">
      <c r="A169" s="293" t="s">
        <v>127</v>
      </c>
      <c r="B169" s="297" t="s">
        <v>1</v>
      </c>
      <c r="C169" s="293" t="str">
        <f t="shared" si="10"/>
        <v>IrelandManufacture of chemicals and chemical products (C20)</v>
      </c>
      <c r="D169" s="297" t="s">
        <v>958</v>
      </c>
      <c r="E169" s="298">
        <v>3407.6026129900001</v>
      </c>
      <c r="F169" s="298">
        <v>10724.46842524</v>
      </c>
      <c r="G169" s="302">
        <v>2.1472180424905289</v>
      </c>
      <c r="H169" s="303">
        <v>25589.937500070002</v>
      </c>
      <c r="I169" s="298">
        <v>9166.1884672199994</v>
      </c>
      <c r="J169" s="298">
        <v>10724.46842524</v>
      </c>
      <c r="K169" s="302">
        <v>0.17000304582353953</v>
      </c>
      <c r="L169" s="298">
        <v>12626.04364785</v>
      </c>
      <c r="M169" s="298">
        <v>14112.09466974</v>
      </c>
      <c r="N169" s="298">
        <v>15205.720860609999</v>
      </c>
      <c r="O169" s="306">
        <v>18017.575189079998</v>
      </c>
      <c r="P169" s="306" cm="1">
        <f t="array" ref="P169">INDEX($E$152:$E$676, MATCH($B169, $B$153:$B$676, 0) * MATCH("Brazil", $A$152:$A$676, 0))</f>
        <v>28997.54011306</v>
      </c>
      <c r="Q169" s="306">
        <f t="shared" si="11"/>
        <v>25589.937500070002</v>
      </c>
      <c r="R169" s="336">
        <f>INDEX('Base GDP'!$A$1:$E$76,MATCH(A169,'Base GDP'!$A$1:$A$76,0),4)</f>
        <v>308812.05776281998</v>
      </c>
      <c r="S169" s="336">
        <f>INDEX('Base GDP'!$A$1:$E$76,MATCH(A169,'Base GDP'!$A$1:$A$76,0),5)</f>
        <v>483748.84960921999</v>
      </c>
      <c r="T169" s="335">
        <f t="shared" si="12"/>
        <v>2.9682093806906978E-2</v>
      </c>
      <c r="U169" s="335">
        <f t="shared" si="13"/>
        <v>2.2169496493693777E-2</v>
      </c>
      <c r="V169" s="335">
        <f t="shared" si="14"/>
        <v>-7.5125973132132012E-3</v>
      </c>
    </row>
    <row r="170" spans="1:22" x14ac:dyDescent="0.45">
      <c r="A170" s="293" t="s">
        <v>75</v>
      </c>
      <c r="B170" s="297" t="s">
        <v>1</v>
      </c>
      <c r="C170" s="293" t="str">
        <f t="shared" si="10"/>
        <v>MexicoManufacture of chemicals and chemical products (C20)</v>
      </c>
      <c r="D170" s="297" t="s">
        <v>958</v>
      </c>
      <c r="E170" s="298">
        <v>12247.16622153</v>
      </c>
      <c r="F170" s="298">
        <v>10673.469207059999</v>
      </c>
      <c r="G170" s="302">
        <v>-0.1284947869576154</v>
      </c>
      <c r="H170" s="303">
        <v>16750.373891529998</v>
      </c>
      <c r="I170" s="298">
        <v>11752.45930903</v>
      </c>
      <c r="J170" s="298">
        <v>10673.469207059999</v>
      </c>
      <c r="K170" s="302">
        <v>-9.1809728806374946E-2</v>
      </c>
      <c r="L170" s="298">
        <v>11093.91626935</v>
      </c>
      <c r="M170" s="298">
        <v>12154.61235571</v>
      </c>
      <c r="N170" s="298">
        <v>12992.04197172</v>
      </c>
      <c r="O170" s="306">
        <v>15076.25199266</v>
      </c>
      <c r="P170" s="306" cm="1">
        <f t="array" ref="P170">INDEX($E$152:$E$676, MATCH($B170, $B$153:$B$676, 0) * MATCH("Brazil", $A$152:$A$676, 0))</f>
        <v>28997.54011306</v>
      </c>
      <c r="Q170" s="306">
        <f t="shared" si="11"/>
        <v>16750.373891529998</v>
      </c>
      <c r="R170" s="336">
        <f>INDEX('Base GDP'!$A$1:$E$76,MATCH(A170,'Base GDP'!$A$1:$A$76,0),4)</f>
        <v>1239119.2771185001</v>
      </c>
      <c r="S170" s="336">
        <f>INDEX('Base GDP'!$A$1:$E$76,MATCH(A170,'Base GDP'!$A$1:$A$76,0),5)</f>
        <v>1262038.2891611001</v>
      </c>
      <c r="T170" s="335">
        <f t="shared" si="12"/>
        <v>9.4845262486430385E-3</v>
      </c>
      <c r="U170" s="335">
        <f t="shared" si="13"/>
        <v>8.4573259771340611E-3</v>
      </c>
      <c r="V170" s="335">
        <f t="shared" si="14"/>
        <v>-1.0272002715089774E-3</v>
      </c>
    </row>
    <row r="171" spans="1:22" x14ac:dyDescent="0.45">
      <c r="A171" s="293" t="s">
        <v>118</v>
      </c>
      <c r="B171" s="297" t="s">
        <v>1</v>
      </c>
      <c r="C171" s="293" t="str">
        <f t="shared" si="10"/>
        <v>BelgiumManufacture of chemicals and chemical products (C20)</v>
      </c>
      <c r="D171" s="297" t="s">
        <v>958</v>
      </c>
      <c r="E171" s="298">
        <v>9217.2204108099995</v>
      </c>
      <c r="F171" s="298">
        <v>10126.374203609999</v>
      </c>
      <c r="G171" s="302">
        <v>9.8636438348999489E-2</v>
      </c>
      <c r="H171" s="303">
        <v>19780.319702250003</v>
      </c>
      <c r="I171" s="298">
        <v>9886.6669031700003</v>
      </c>
      <c r="J171" s="298">
        <v>10126.374203609999</v>
      </c>
      <c r="K171" s="302">
        <v>2.4245511939229969E-2</v>
      </c>
      <c r="L171" s="298">
        <v>7975.4629327800003</v>
      </c>
      <c r="M171" s="298">
        <v>8190.2608118500002</v>
      </c>
      <c r="N171" s="298">
        <v>8468.0782667999993</v>
      </c>
      <c r="O171" s="306">
        <v>9109.7923579100006</v>
      </c>
      <c r="P171" s="306" cm="1">
        <f t="array" ref="P171">INDEX($E$152:$E$676, MATCH($B171, $B$153:$B$676, 0) * MATCH("Brazil", $A$152:$A$676, 0))</f>
        <v>28997.54011306</v>
      </c>
      <c r="Q171" s="306">
        <f t="shared" si="11"/>
        <v>19780.319702250003</v>
      </c>
      <c r="R171" s="336">
        <f>INDEX('Base GDP'!$A$1:$E$76,MATCH(A171,'Base GDP'!$A$1:$A$76,0),4)</f>
        <v>500331.50984029</v>
      </c>
      <c r="S171" s="336">
        <f>INDEX('Base GDP'!$A$1:$E$76,MATCH(A171,'Base GDP'!$A$1:$A$76,0),5)</f>
        <v>542439.84157398995</v>
      </c>
      <c r="T171" s="335">
        <f t="shared" si="12"/>
        <v>1.9760232383376989E-2</v>
      </c>
      <c r="U171" s="335">
        <f t="shared" si="13"/>
        <v>1.8668197701382783E-2</v>
      </c>
      <c r="V171" s="335">
        <f t="shared" si="14"/>
        <v>-1.0920346819942063E-3</v>
      </c>
    </row>
    <row r="172" spans="1:22" x14ac:dyDescent="0.45">
      <c r="A172" s="293" t="s">
        <v>143</v>
      </c>
      <c r="B172" s="297" t="s">
        <v>1</v>
      </c>
      <c r="C172" s="293" t="str">
        <f t="shared" si="10"/>
        <v>United Arab EmiratesManufacture of chemicals and chemical products (C20)</v>
      </c>
      <c r="D172" s="297" t="s">
        <v>958</v>
      </c>
      <c r="E172" s="298">
        <v>6492.7977059499999</v>
      </c>
      <c r="F172" s="298">
        <v>8558.4977014899996</v>
      </c>
      <c r="G172" s="302">
        <v>0.31815252670616734</v>
      </c>
      <c r="H172" s="303">
        <v>22504.742407109999</v>
      </c>
      <c r="I172" s="298">
        <v>8323.6275743599999</v>
      </c>
      <c r="J172" s="298">
        <v>8558.4977014899996</v>
      </c>
      <c r="K172" s="302">
        <v>2.821727966944243E-2</v>
      </c>
      <c r="L172" s="298">
        <v>9965.6223879900008</v>
      </c>
      <c r="M172" s="298">
        <v>11073.95831659</v>
      </c>
      <c r="N172" s="298">
        <v>11926.79494862</v>
      </c>
      <c r="O172" s="306">
        <v>13986.343527589999</v>
      </c>
      <c r="P172" s="306" cm="1">
        <f t="array" ref="P172">INDEX($E$152:$E$676, MATCH($B172, $B$153:$B$676, 0) * MATCH("Brazil", $A$152:$A$676, 0))</f>
        <v>28997.54011306</v>
      </c>
      <c r="Q172" s="306">
        <f t="shared" si="11"/>
        <v>22504.742407109999</v>
      </c>
      <c r="R172" s="336">
        <f>INDEX('Base GDP'!$A$1:$E$76,MATCH(A172,'Base GDP'!$A$1:$A$76,0),4)</f>
        <v>383753.13090967003</v>
      </c>
      <c r="S172" s="336">
        <f>INDEX('Base GDP'!$A$1:$E$76,MATCH(A172,'Base GDP'!$A$1:$A$76,0),5)</f>
        <v>414599.77007557999</v>
      </c>
      <c r="T172" s="335">
        <f t="shared" si="12"/>
        <v>2.1690057758302073E-2</v>
      </c>
      <c r="U172" s="335">
        <f t="shared" si="13"/>
        <v>2.0642794133556363E-2</v>
      </c>
      <c r="V172" s="335">
        <f t="shared" si="14"/>
        <v>-1.0472636247457097E-3</v>
      </c>
    </row>
    <row r="173" spans="1:22" x14ac:dyDescent="0.45">
      <c r="A173" s="293" t="s">
        <v>107</v>
      </c>
      <c r="B173" s="297" t="s">
        <v>1</v>
      </c>
      <c r="C173" s="293" t="str">
        <f t="shared" si="10"/>
        <v>IranManufacture of chemicals and chemical products (C20)</v>
      </c>
      <c r="D173" s="297" t="s">
        <v>958</v>
      </c>
      <c r="E173" s="298">
        <v>6614.6485251399999</v>
      </c>
      <c r="F173" s="298">
        <v>8511.4955193299993</v>
      </c>
      <c r="G173" s="302">
        <v>0.28676459330843307</v>
      </c>
      <c r="H173" s="303">
        <v>22382.891587919999</v>
      </c>
      <c r="I173" s="298">
        <v>7043.6131135200003</v>
      </c>
      <c r="J173" s="298">
        <v>8511.4955193299993</v>
      </c>
      <c r="K173" s="302">
        <v>0.20839906765924487</v>
      </c>
      <c r="L173" s="298">
        <v>10159.543469259999</v>
      </c>
      <c r="M173" s="298">
        <v>11465.076995400001</v>
      </c>
      <c r="N173" s="298">
        <v>12120.387760420001</v>
      </c>
      <c r="O173" s="306">
        <v>13786.077376159999</v>
      </c>
      <c r="P173" s="306" cm="1">
        <f t="array" ref="P173">INDEX($E$152:$E$676, MATCH($B173, $B$153:$B$676, 0) * MATCH("Brazil", $A$152:$A$676, 0))</f>
        <v>28997.54011306</v>
      </c>
      <c r="Q173" s="306">
        <f t="shared" si="11"/>
        <v>22382.891587919999</v>
      </c>
      <c r="R173" s="336">
        <f>INDEX('Base GDP'!$A$1:$E$76,MATCH(A173,'Base GDP'!$A$1:$A$76,0),4)</f>
        <v>195024.47923529</v>
      </c>
      <c r="S173" s="336">
        <f>INDEX('Base GDP'!$A$1:$E$76,MATCH(A173,'Base GDP'!$A$1:$A$76,0),5)</f>
        <v>224406.94908081999</v>
      </c>
      <c r="T173" s="335">
        <f t="shared" si="12"/>
        <v>3.6116559014225773E-2</v>
      </c>
      <c r="U173" s="335">
        <f t="shared" si="13"/>
        <v>3.7928841126326218E-2</v>
      </c>
      <c r="V173" s="335">
        <f t="shared" si="14"/>
        <v>1.8122821121004454E-3</v>
      </c>
    </row>
    <row r="174" spans="1:22" x14ac:dyDescent="0.45">
      <c r="A174" s="293" t="s">
        <v>121</v>
      </c>
      <c r="B174" s="297" t="s">
        <v>1</v>
      </c>
      <c r="C174" s="293" t="str">
        <f t="shared" si="10"/>
        <v>SingaporeManufacture of chemicals and chemical products (C20)</v>
      </c>
      <c r="D174" s="297" t="s">
        <v>958</v>
      </c>
      <c r="E174" s="298">
        <v>17732.749547169999</v>
      </c>
      <c r="F174" s="298">
        <v>8286.7942366000007</v>
      </c>
      <c r="G174" s="302">
        <v>-0.53268418896027858</v>
      </c>
      <c r="H174" s="303">
        <v>11264.790565890002</v>
      </c>
      <c r="I174" s="298">
        <v>7306.4393696999996</v>
      </c>
      <c r="J174" s="298">
        <v>8286.7942366000007</v>
      </c>
      <c r="K174" s="302">
        <v>0.13417682913589335</v>
      </c>
      <c r="L174" s="298">
        <v>8523.5860089899998</v>
      </c>
      <c r="M174" s="298">
        <v>8924.9337666699994</v>
      </c>
      <c r="N174" s="298">
        <v>9225.5958836000009</v>
      </c>
      <c r="O174" s="306">
        <v>9767.0409427499999</v>
      </c>
      <c r="P174" s="306" cm="1">
        <f t="array" ref="P174">INDEX($E$152:$E$676, MATCH($B174, $B$153:$B$676, 0) * MATCH("Brazil", $A$152:$A$676, 0))</f>
        <v>28997.54011306</v>
      </c>
      <c r="Q174" s="306">
        <f t="shared" si="11"/>
        <v>11264.790565890002</v>
      </c>
      <c r="R174" s="336">
        <f>INDEX('Base GDP'!$A$1:$E$76,MATCH(A174,'Base GDP'!$A$1:$A$76,0),4)</f>
        <v>331298.98374970001</v>
      </c>
      <c r="S174" s="336">
        <f>INDEX('Base GDP'!$A$1:$E$76,MATCH(A174,'Base GDP'!$A$1:$A$76,0),5)</f>
        <v>394237.177708</v>
      </c>
      <c r="T174" s="335">
        <f t="shared" si="12"/>
        <v>2.2053914222749604E-2</v>
      </c>
      <c r="U174" s="335">
        <f t="shared" si="13"/>
        <v>2.1019819299583631E-2</v>
      </c>
      <c r="V174" s="335">
        <f t="shared" si="14"/>
        <v>-1.0340949231659735E-3</v>
      </c>
    </row>
    <row r="175" spans="1:22" x14ac:dyDescent="0.45">
      <c r="A175" s="293" t="s">
        <v>155</v>
      </c>
      <c r="B175" s="297" t="s">
        <v>1</v>
      </c>
      <c r="C175" s="293" t="str">
        <f t="shared" si="10"/>
        <v>QatarManufacture of chemicals and chemical products (C20)</v>
      </c>
      <c r="D175" s="297" t="s">
        <v>958</v>
      </c>
      <c r="E175" s="298">
        <v>5872.6383554599997</v>
      </c>
      <c r="F175" s="298">
        <v>7597.0090686599997</v>
      </c>
      <c r="G175" s="302">
        <v>0.29362794179157858</v>
      </c>
      <c r="H175" s="303">
        <v>23124.901757600001</v>
      </c>
      <c r="I175" s="298">
        <v>8094.8898504400004</v>
      </c>
      <c r="J175" s="298">
        <v>7597.0090686599997</v>
      </c>
      <c r="K175" s="302">
        <v>-6.1505565977891363E-2</v>
      </c>
      <c r="L175" s="298">
        <v>8929.80574892</v>
      </c>
      <c r="M175" s="298">
        <v>10341.504894420001</v>
      </c>
      <c r="N175" s="298">
        <v>11028.77519174</v>
      </c>
      <c r="O175" s="306">
        <v>12425.00304695</v>
      </c>
      <c r="P175" s="306" cm="1">
        <f t="array" ref="P175">INDEX($E$152:$E$676, MATCH($B175, $B$153:$B$676, 0) * MATCH("Brazil", $A$152:$A$676, 0))</f>
        <v>28997.54011306</v>
      </c>
      <c r="Q175" s="306">
        <f t="shared" si="11"/>
        <v>23124.901757600001</v>
      </c>
      <c r="R175" s="336">
        <f>INDEX('Base GDP'!$A$1:$E$76,MATCH(A175,'Base GDP'!$A$1:$A$76,0),4)</f>
        <v>170576.82347613</v>
      </c>
      <c r="S175" s="336">
        <f>INDEX('Base GDP'!$A$1:$E$76,MATCH(A175,'Base GDP'!$A$1:$A$76,0),5)</f>
        <v>172715.39534024999</v>
      </c>
      <c r="T175" s="335">
        <f t="shared" si="12"/>
        <v>4.7455977227602524E-2</v>
      </c>
      <c r="U175" s="335">
        <f t="shared" si="13"/>
        <v>4.3985708707054531E-2</v>
      </c>
      <c r="V175" s="335">
        <f t="shared" si="14"/>
        <v>-3.4702685205479922E-3</v>
      </c>
    </row>
    <row r="176" spans="1:22" x14ac:dyDescent="0.45">
      <c r="A176" s="293" t="s">
        <v>144</v>
      </c>
      <c r="B176" s="297" t="s">
        <v>1</v>
      </c>
      <c r="C176" s="293" t="str">
        <f t="shared" si="10"/>
        <v>MalaysiaManufacture of chemicals and chemical products (C20)</v>
      </c>
      <c r="D176" s="297" t="s">
        <v>958</v>
      </c>
      <c r="E176" s="298">
        <v>4511.8920486200004</v>
      </c>
      <c r="F176" s="298">
        <v>6897.0323465900001</v>
      </c>
      <c r="G176" s="302">
        <v>0.52863416772117033</v>
      </c>
      <c r="H176" s="303">
        <v>24485.64806444</v>
      </c>
      <c r="I176" s="298">
        <v>5766.91945338</v>
      </c>
      <c r="J176" s="298">
        <v>6897.0323465900001</v>
      </c>
      <c r="K176" s="302">
        <v>0.19596474380228068</v>
      </c>
      <c r="L176" s="298">
        <v>8766.8707430499999</v>
      </c>
      <c r="M176" s="298">
        <v>10536.094323269999</v>
      </c>
      <c r="N176" s="298">
        <v>11900.49416183</v>
      </c>
      <c r="O176" s="306">
        <v>15224.980960860001</v>
      </c>
      <c r="P176" s="306" cm="1">
        <f t="array" ref="P176">INDEX($E$152:$E$676, MATCH($B176, $B$153:$B$676, 0) * MATCH("Brazil", $A$152:$A$676, 0))</f>
        <v>28997.54011306</v>
      </c>
      <c r="Q176" s="306">
        <f t="shared" si="11"/>
        <v>24485.64806444</v>
      </c>
      <c r="R176" s="336">
        <f>INDEX('Base GDP'!$A$1:$E$76,MATCH(A176,'Base GDP'!$A$1:$A$76,0),4)</f>
        <v>301830.41438700003</v>
      </c>
      <c r="S176" s="336">
        <f>INDEX('Base GDP'!$A$1:$E$76,MATCH(A176,'Base GDP'!$A$1:$A$76,0),5)</f>
        <v>356559.39228144003</v>
      </c>
      <c r="T176" s="335">
        <f t="shared" si="12"/>
        <v>1.9106488870885584E-2</v>
      </c>
      <c r="U176" s="335">
        <f t="shared" si="13"/>
        <v>1.9343291737344066E-2</v>
      </c>
      <c r="V176" s="335">
        <f t="shared" si="14"/>
        <v>2.3680286645848259E-4</v>
      </c>
    </row>
    <row r="177" spans="1:22" x14ac:dyDescent="0.45">
      <c r="A177" s="293" t="s">
        <v>108</v>
      </c>
      <c r="B177" s="297" t="s">
        <v>1</v>
      </c>
      <c r="C177" s="293" t="str">
        <f t="shared" si="10"/>
        <v>TurkeyManufacture of chemicals and chemical products (C20)</v>
      </c>
      <c r="D177" s="297" t="s">
        <v>958</v>
      </c>
      <c r="E177" s="298">
        <v>3781.4844957800001</v>
      </c>
      <c r="F177" s="298">
        <v>6852.4137555099996</v>
      </c>
      <c r="G177" s="302">
        <v>0.81209621860331449</v>
      </c>
      <c r="H177" s="303">
        <v>25216.055617279999</v>
      </c>
      <c r="I177" s="298">
        <v>4564.8748603599997</v>
      </c>
      <c r="J177" s="298">
        <v>6852.4137555099996</v>
      </c>
      <c r="K177" s="302">
        <v>0.50111754760558713</v>
      </c>
      <c r="L177" s="298">
        <v>7400.8099601000004</v>
      </c>
      <c r="M177" s="298">
        <v>8333.55713999</v>
      </c>
      <c r="N177" s="298">
        <v>9093.3319539599997</v>
      </c>
      <c r="O177" s="306">
        <v>11446.23325711</v>
      </c>
      <c r="P177" s="306" cm="1">
        <f t="array" ref="P177">INDEX($E$152:$E$676, MATCH($B177, $B$153:$B$676, 0) * MATCH("Brazil", $A$152:$A$676, 0))</f>
        <v>28997.54011306</v>
      </c>
      <c r="Q177" s="306">
        <f t="shared" si="11"/>
        <v>25216.055617279999</v>
      </c>
      <c r="R177" s="336">
        <f>INDEX('Base GDP'!$A$1:$E$76,MATCH(A177,'Base GDP'!$A$1:$A$76,0),4)</f>
        <v>659235.83503077005</v>
      </c>
      <c r="S177" s="336">
        <f>INDEX('Base GDP'!$A$1:$E$76,MATCH(A177,'Base GDP'!$A$1:$A$76,0),5)</f>
        <v>865088.75381619995</v>
      </c>
      <c r="T177" s="335">
        <f t="shared" si="12"/>
        <v>6.924494418824991E-3</v>
      </c>
      <c r="U177" s="335">
        <f t="shared" si="13"/>
        <v>7.9210528691786575E-3</v>
      </c>
      <c r="V177" s="335">
        <f t="shared" si="14"/>
        <v>9.965584503536665E-4</v>
      </c>
    </row>
    <row r="178" spans="1:22" x14ac:dyDescent="0.45">
      <c r="A178" s="293" t="s">
        <v>109</v>
      </c>
      <c r="B178" s="297" t="s">
        <v>1</v>
      </c>
      <c r="C178" s="293" t="str">
        <f t="shared" si="10"/>
        <v>ThailandManufacture of chemicals and chemical products (C20)</v>
      </c>
      <c r="D178" s="297" t="s">
        <v>958</v>
      </c>
      <c r="E178" s="298">
        <v>5840.7193428500004</v>
      </c>
      <c r="F178" s="298">
        <v>6511.4014883099999</v>
      </c>
      <c r="G178" s="302">
        <v>0.1148286890862209</v>
      </c>
      <c r="H178" s="303">
        <v>23156.820770210001</v>
      </c>
      <c r="I178" s="298">
        <v>6119.5048181700004</v>
      </c>
      <c r="J178" s="298">
        <v>6511.4014883099999</v>
      </c>
      <c r="K178" s="302">
        <v>6.404058527356371E-2</v>
      </c>
      <c r="L178" s="298">
        <v>6761.2609149199998</v>
      </c>
      <c r="M178" s="298">
        <v>7851.6976686099997</v>
      </c>
      <c r="N178" s="298">
        <v>8678.4409177199996</v>
      </c>
      <c r="O178" s="306">
        <v>10748.122792460001</v>
      </c>
      <c r="P178" s="306" cm="1">
        <f t="array" ref="P178">INDEX($E$152:$E$676, MATCH($B178, $B$153:$B$676, 0) * MATCH("Brazil", $A$152:$A$676, 0))</f>
        <v>28997.54011306</v>
      </c>
      <c r="Q178" s="306">
        <f t="shared" si="11"/>
        <v>23156.820770210001</v>
      </c>
      <c r="R178" s="336">
        <f>INDEX('Base GDP'!$A$1:$E$76,MATCH(A178,'Base GDP'!$A$1:$A$76,0),4)</f>
        <v>474324.68093352998</v>
      </c>
      <c r="S178" s="336">
        <f>INDEX('Base GDP'!$A$1:$E$76,MATCH(A178,'Base GDP'!$A$1:$A$76,0),5)</f>
        <v>518585.14704719</v>
      </c>
      <c r="T178" s="335">
        <f t="shared" si="12"/>
        <v>1.2901510429788418E-2</v>
      </c>
      <c r="U178" s="335">
        <f t="shared" si="13"/>
        <v>1.2556089439479218E-2</v>
      </c>
      <c r="V178" s="335">
        <f t="shared" si="14"/>
        <v>-3.4542099030920002E-4</v>
      </c>
    </row>
    <row r="179" spans="1:22" x14ac:dyDescent="0.45">
      <c r="A179" s="293" t="s">
        <v>67</v>
      </c>
      <c r="B179" s="297" t="s">
        <v>1</v>
      </c>
      <c r="C179" s="293" t="str">
        <f t="shared" si="10"/>
        <v>SwitzerlandManufacture of chemicals and chemical products (C20)</v>
      </c>
      <c r="D179" s="297" t="s">
        <v>958</v>
      </c>
      <c r="E179" s="298">
        <v>4679.6909198499998</v>
      </c>
      <c r="F179" s="298">
        <v>6050.9496475599999</v>
      </c>
      <c r="G179" s="302">
        <v>0.29302335372053889</v>
      </c>
      <c r="H179" s="303">
        <v>24317.849193210001</v>
      </c>
      <c r="I179" s="298">
        <v>4926.9087473099999</v>
      </c>
      <c r="J179" s="298">
        <v>6050.9496475599999</v>
      </c>
      <c r="K179" s="302">
        <v>0.22814323501804368</v>
      </c>
      <c r="L179" s="298">
        <v>6743.1875663600003</v>
      </c>
      <c r="M179" s="298">
        <v>6983.7846327099996</v>
      </c>
      <c r="N179" s="298">
        <v>7127.84786446</v>
      </c>
      <c r="O179" s="306">
        <v>7381.9928569499998</v>
      </c>
      <c r="P179" s="306" cm="1">
        <f t="array" ref="P179">INDEX($E$152:$E$676, MATCH($B179, $B$153:$B$676, 0) * MATCH("Brazil", $A$152:$A$676, 0))</f>
        <v>28997.54011306</v>
      </c>
      <c r="Q179" s="306">
        <f t="shared" si="11"/>
        <v>24317.849193210001</v>
      </c>
      <c r="R179" s="336">
        <f>INDEX('Base GDP'!$A$1:$E$76,MATCH(A179,'Base GDP'!$A$1:$A$76,0),4)</f>
        <v>669989.49931316997</v>
      </c>
      <c r="S179" s="336">
        <f>INDEX('Base GDP'!$A$1:$E$76,MATCH(A179,'Base GDP'!$A$1:$A$76,0),5)</f>
        <v>743458.79269773001</v>
      </c>
      <c r="T179" s="335">
        <f t="shared" si="12"/>
        <v>7.3537103974924221E-3</v>
      </c>
      <c r="U179" s="335">
        <f t="shared" si="13"/>
        <v>8.1389173239896709E-3</v>
      </c>
      <c r="V179" s="335">
        <f t="shared" si="14"/>
        <v>7.8520692649724881E-4</v>
      </c>
    </row>
    <row r="180" spans="1:22" x14ac:dyDescent="0.45">
      <c r="A180" s="293" t="s">
        <v>142</v>
      </c>
      <c r="B180" s="297" t="s">
        <v>1</v>
      </c>
      <c r="C180" s="293" t="str">
        <f t="shared" si="10"/>
        <v>ArgentinaManufacture of chemicals and chemical products (C20)</v>
      </c>
      <c r="D180" s="297" t="s">
        <v>958</v>
      </c>
      <c r="E180" s="298">
        <v>5787.0413925000003</v>
      </c>
      <c r="F180" s="298">
        <v>5210.2490362299995</v>
      </c>
      <c r="G180" s="302">
        <v>-9.9669644149689818E-2</v>
      </c>
      <c r="H180" s="303">
        <v>23210.498720560001</v>
      </c>
      <c r="I180" s="298">
        <v>5754.7432430400004</v>
      </c>
      <c r="J180" s="298">
        <v>5210.2490362299995</v>
      </c>
      <c r="K180" s="302">
        <v>-9.461659431435665E-2</v>
      </c>
      <c r="L180" s="298">
        <v>5244.0508990899998</v>
      </c>
      <c r="M180" s="298">
        <v>5778.3728682999999</v>
      </c>
      <c r="N180" s="298">
        <v>6202.8199129000004</v>
      </c>
      <c r="O180" s="306">
        <v>7401.1973258300004</v>
      </c>
      <c r="P180" s="306" cm="1">
        <f t="array" ref="P180">INDEX($E$152:$E$676, MATCH($B180, $B$153:$B$676, 0) * MATCH("Brazil", $A$152:$A$676, 0))</f>
        <v>28997.54011306</v>
      </c>
      <c r="Q180" s="306">
        <f t="shared" si="11"/>
        <v>23210.498720560001</v>
      </c>
      <c r="R180" s="336">
        <f>INDEX('Base GDP'!$A$1:$E$76,MATCH(A180,'Base GDP'!$A$1:$A$76,0),4)</f>
        <v>464976.94374428003</v>
      </c>
      <c r="S180" s="336">
        <f>INDEX('Base GDP'!$A$1:$E$76,MATCH(A180,'Base GDP'!$A$1:$A$76,0),5)</f>
        <v>445673.70595729002</v>
      </c>
      <c r="T180" s="335">
        <f t="shared" si="12"/>
        <v>1.2376405584111919E-2</v>
      </c>
      <c r="U180" s="335">
        <f t="shared" si="13"/>
        <v>1.1690725673480298E-2</v>
      </c>
      <c r="V180" s="335">
        <f t="shared" si="14"/>
        <v>-6.8567991063162026E-4</v>
      </c>
    </row>
    <row r="181" spans="1:22" x14ac:dyDescent="0.45">
      <c r="A181" s="293" t="s">
        <v>153</v>
      </c>
      <c r="B181" s="297" t="s">
        <v>1</v>
      </c>
      <c r="C181" s="293" t="str">
        <f t="shared" si="10"/>
        <v>OmanManufacture of chemicals and chemical products (C20)</v>
      </c>
      <c r="D181" s="297" t="s">
        <v>958</v>
      </c>
      <c r="E181" s="298">
        <v>4118.2880794100001</v>
      </c>
      <c r="F181" s="298">
        <v>5071.9517757699996</v>
      </c>
      <c r="G181" s="302">
        <v>0.23156799086688085</v>
      </c>
      <c r="H181" s="303">
        <v>24879.252033650002</v>
      </c>
      <c r="I181" s="298">
        <v>4217.3410426800001</v>
      </c>
      <c r="J181" s="298">
        <v>5071.9517757699996</v>
      </c>
      <c r="K181" s="302">
        <v>0.20264207339203444</v>
      </c>
      <c r="L181" s="298">
        <v>5946.6393511200004</v>
      </c>
      <c r="M181" s="298">
        <v>6510.0362690299999</v>
      </c>
      <c r="N181" s="298">
        <v>6779.5426810700001</v>
      </c>
      <c r="O181" s="306">
        <v>7399.9016081</v>
      </c>
      <c r="P181" s="306" cm="1">
        <f t="array" ref="P181">INDEX($E$152:$E$676, MATCH($B181, $B$153:$B$676, 0) * MATCH("Brazil", $A$152:$A$676, 0))</f>
        <v>28997.54011306</v>
      </c>
      <c r="Q181" s="306">
        <f t="shared" si="11"/>
        <v>24879.252033650002</v>
      </c>
      <c r="R181" s="336">
        <f>INDEX('Base GDP'!$A$1:$E$76,MATCH(A181,'Base GDP'!$A$1:$A$76,0),4)</f>
        <v>83456.391863790006</v>
      </c>
      <c r="S181" s="336">
        <f>INDEX('Base GDP'!$A$1:$E$76,MATCH(A181,'Base GDP'!$A$1:$A$76,0),5)</f>
        <v>87715.792114070005</v>
      </c>
      <c r="T181" s="335">
        <f t="shared" si="12"/>
        <v>5.0533469618039124E-2</v>
      </c>
      <c r="U181" s="335">
        <f t="shared" si="13"/>
        <v>5.7822561405752107E-2</v>
      </c>
      <c r="V181" s="335">
        <f t="shared" si="14"/>
        <v>7.2890917877129827E-3</v>
      </c>
    </row>
    <row r="182" spans="1:22" x14ac:dyDescent="0.45">
      <c r="A182" s="293" t="s">
        <v>112</v>
      </c>
      <c r="B182" s="297" t="s">
        <v>1</v>
      </c>
      <c r="C182" s="293" t="str">
        <f t="shared" si="10"/>
        <v>PolandManufacture of chemicals and chemical products (C20)</v>
      </c>
      <c r="D182" s="297" t="s">
        <v>958</v>
      </c>
      <c r="E182" s="298">
        <v>3332.4643640499999</v>
      </c>
      <c r="F182" s="298">
        <v>4980.48347509</v>
      </c>
      <c r="G182" s="302">
        <v>0.49453465393914509</v>
      </c>
      <c r="H182" s="303">
        <v>25665.07574901</v>
      </c>
      <c r="I182" s="298">
        <v>4253.1971468299998</v>
      </c>
      <c r="J182" s="298">
        <v>4980.48347509</v>
      </c>
      <c r="K182" s="302">
        <v>0.17099755857827148</v>
      </c>
      <c r="L182" s="298">
        <v>5856.2186744199998</v>
      </c>
      <c r="M182" s="298">
        <v>6549.6426052699999</v>
      </c>
      <c r="N182" s="298">
        <v>6945.8504744100001</v>
      </c>
      <c r="O182" s="306">
        <v>7561.4158682899997</v>
      </c>
      <c r="P182" s="306" cm="1">
        <f t="array" ref="P182">INDEX($E$152:$E$676, MATCH($B182, $B$153:$B$676, 0) * MATCH("Brazil", $A$152:$A$676, 0))</f>
        <v>28997.54011306</v>
      </c>
      <c r="Q182" s="306">
        <f t="shared" si="11"/>
        <v>25665.07574901</v>
      </c>
      <c r="R182" s="336">
        <f>INDEX('Base GDP'!$A$1:$E$76,MATCH(A182,'Base GDP'!$A$1:$A$76,0),4)</f>
        <v>496555.53410177003</v>
      </c>
      <c r="S182" s="336">
        <f>INDEX('Base GDP'!$A$1:$E$76,MATCH(A182,'Base GDP'!$A$1:$A$76,0),5)</f>
        <v>623108.57565016998</v>
      </c>
      <c r="T182" s="335">
        <f t="shared" si="12"/>
        <v>8.5654007552724183E-3</v>
      </c>
      <c r="U182" s="335">
        <f t="shared" si="13"/>
        <v>7.9929624943665973E-3</v>
      </c>
      <c r="V182" s="335">
        <f t="shared" si="14"/>
        <v>-5.7243826090582102E-4</v>
      </c>
    </row>
    <row r="183" spans="1:22" x14ac:dyDescent="0.45">
      <c r="A183" s="293" t="s">
        <v>146</v>
      </c>
      <c r="B183" s="297" t="s">
        <v>1</v>
      </c>
      <c r="C183" s="293" t="str">
        <f t="shared" si="10"/>
        <v>EgyptManufacture of chemicals and chemical products (C20)</v>
      </c>
      <c r="D183" s="297" t="s">
        <v>958</v>
      </c>
      <c r="E183" s="298">
        <v>4353.6711039299998</v>
      </c>
      <c r="F183" s="298">
        <v>4426.2582915000003</v>
      </c>
      <c r="G183" s="302">
        <v>1.6672639213485052E-2</v>
      </c>
      <c r="H183" s="303">
        <v>24643.869009130001</v>
      </c>
      <c r="I183" s="298">
        <v>3989.40709079</v>
      </c>
      <c r="J183" s="298">
        <v>4426.2582915000003</v>
      </c>
      <c r="K183" s="302">
        <v>0.10950278845157735</v>
      </c>
      <c r="L183" s="298">
        <v>4689.8213881800002</v>
      </c>
      <c r="M183" s="298">
        <v>5412.7406302999998</v>
      </c>
      <c r="N183" s="298">
        <v>5887.9448160800002</v>
      </c>
      <c r="O183" s="306">
        <v>7188.0806340199997</v>
      </c>
      <c r="P183" s="306" cm="1">
        <f t="array" ref="P183">INDEX($E$152:$E$676, MATCH($B183, $B$153:$B$676, 0) * MATCH("Brazil", $A$152:$A$676, 0))</f>
        <v>28997.54011306</v>
      </c>
      <c r="Q183" s="306">
        <f t="shared" si="11"/>
        <v>24643.869009130001</v>
      </c>
      <c r="R183" s="336">
        <f>INDEX('Base GDP'!$A$1:$E$76,MATCH(A183,'Base GDP'!$A$1:$A$76,0),4)</f>
        <v>276522.47435759002</v>
      </c>
      <c r="S183" s="336">
        <f>INDEX('Base GDP'!$A$1:$E$76,MATCH(A183,'Base GDP'!$A$1:$A$76,0),5)</f>
        <v>357883.01385108999</v>
      </c>
      <c r="T183" s="335">
        <f t="shared" si="12"/>
        <v>1.4427062755235679E-2</v>
      </c>
      <c r="U183" s="335">
        <f t="shared" si="13"/>
        <v>1.2367891518153202E-2</v>
      </c>
      <c r="V183" s="335">
        <f t="shared" si="14"/>
        <v>-2.0591712370824772E-3</v>
      </c>
    </row>
    <row r="184" spans="1:22" x14ac:dyDescent="0.45">
      <c r="A184" s="293" t="s">
        <v>74</v>
      </c>
      <c r="B184" s="297" t="s">
        <v>1</v>
      </c>
      <c r="C184" s="293" t="str">
        <f t="shared" si="10"/>
        <v>SwedenManufacture of chemicals and chemical products (C20)</v>
      </c>
      <c r="D184" s="297" t="s">
        <v>958</v>
      </c>
      <c r="E184" s="298">
        <v>3597.2696227299998</v>
      </c>
      <c r="F184" s="298">
        <v>4302.1320997800003</v>
      </c>
      <c r="G184" s="302">
        <v>0.19594374372057044</v>
      </c>
      <c r="H184" s="303">
        <v>25400.27049033</v>
      </c>
      <c r="I184" s="298">
        <v>3235.4004782699999</v>
      </c>
      <c r="J184" s="298">
        <v>4302.1320997800003</v>
      </c>
      <c r="K184" s="302">
        <v>0.32970620752346314</v>
      </c>
      <c r="L184" s="298">
        <v>5159.3323950399999</v>
      </c>
      <c r="M184" s="298">
        <v>5327.0773331099999</v>
      </c>
      <c r="N184" s="298">
        <v>5431.3995743100004</v>
      </c>
      <c r="O184" s="306">
        <v>5918.3635219099997</v>
      </c>
      <c r="P184" s="306" cm="1">
        <f t="array" ref="P184">INDEX($E$152:$E$676, MATCH($B184, $B$153:$B$676, 0) * MATCH("Brazil", $A$152:$A$676, 0))</f>
        <v>28997.54011306</v>
      </c>
      <c r="Q184" s="306">
        <f t="shared" si="11"/>
        <v>25400.27049033</v>
      </c>
      <c r="R184" s="336">
        <f>INDEX('Base GDP'!$A$1:$E$76,MATCH(A184,'Base GDP'!$A$1:$A$76,0),4)</f>
        <v>490179.06760786998</v>
      </c>
      <c r="S184" s="336">
        <f>INDEX('Base GDP'!$A$1:$E$76,MATCH(A184,'Base GDP'!$A$1:$A$76,0),5)</f>
        <v>552840.30345001002</v>
      </c>
      <c r="T184" s="335">
        <f t="shared" si="12"/>
        <v>6.6004460248764293E-3</v>
      </c>
      <c r="U184" s="335">
        <f t="shared" si="13"/>
        <v>7.7818713160608339E-3</v>
      </c>
      <c r="V184" s="335">
        <f t="shared" si="14"/>
        <v>1.1814252911844045E-3</v>
      </c>
    </row>
    <row r="185" spans="1:22" x14ac:dyDescent="0.45">
      <c r="A185" s="293" t="s">
        <v>123</v>
      </c>
      <c r="B185" s="297" t="s">
        <v>1</v>
      </c>
      <c r="C185" s="293" t="str">
        <f t="shared" si="10"/>
        <v>IsraelManufacture of chemicals and chemical products (C20)</v>
      </c>
      <c r="D185" s="297" t="s">
        <v>958</v>
      </c>
      <c r="E185" s="298">
        <v>3457.1113204399999</v>
      </c>
      <c r="F185" s="298">
        <v>3900.3024681100001</v>
      </c>
      <c r="G185" s="302">
        <v>0.12819695595269209</v>
      </c>
      <c r="H185" s="303">
        <v>25540.428792620001</v>
      </c>
      <c r="I185" s="298">
        <v>3511.7834873500001</v>
      </c>
      <c r="J185" s="298">
        <v>3900.3024681100001</v>
      </c>
      <c r="K185" s="302">
        <v>0.1106329539276858</v>
      </c>
      <c r="L185" s="298">
        <v>4088.4951394200002</v>
      </c>
      <c r="M185" s="298">
        <v>4445.7083895200003</v>
      </c>
      <c r="N185" s="298">
        <v>4737.0619972300001</v>
      </c>
      <c r="O185" s="306">
        <v>5487.8841413299997</v>
      </c>
      <c r="P185" s="306" cm="1">
        <f t="array" ref="P185">INDEX($E$152:$E$676, MATCH($B185, $B$153:$B$676, 0) * MATCH("Brazil", $A$152:$A$676, 0))</f>
        <v>28997.54011306</v>
      </c>
      <c r="Q185" s="306">
        <f t="shared" si="11"/>
        <v>25540.428792620001</v>
      </c>
      <c r="R185" s="336">
        <f>INDEX('Base GDP'!$A$1:$E$76,MATCH(A185,'Base GDP'!$A$1:$A$76,0),4)</f>
        <v>339252.33917334001</v>
      </c>
      <c r="S185" s="336">
        <f>INDEX('Base GDP'!$A$1:$E$76,MATCH(A185,'Base GDP'!$A$1:$A$76,0),5)</f>
        <v>430314.68651226</v>
      </c>
      <c r="T185" s="335">
        <f t="shared" si="12"/>
        <v>1.0351538020068491E-2</v>
      </c>
      <c r="U185" s="335">
        <f t="shared" si="13"/>
        <v>9.063837675916453E-3</v>
      </c>
      <c r="V185" s="335">
        <f t="shared" si="14"/>
        <v>-1.2877003441520377E-3</v>
      </c>
    </row>
    <row r="186" spans="1:22" x14ac:dyDescent="0.45">
      <c r="A186" s="293" t="s">
        <v>152</v>
      </c>
      <c r="B186" s="297" t="s">
        <v>1</v>
      </c>
      <c r="C186" s="293" t="str">
        <f t="shared" si="10"/>
        <v>ColombiaManufacture of chemicals and chemical products (C20)</v>
      </c>
      <c r="D186" s="297" t="s">
        <v>958</v>
      </c>
      <c r="E186" s="298">
        <v>3076.7355480900001</v>
      </c>
      <c r="F186" s="298">
        <v>3632.4281203199998</v>
      </c>
      <c r="G186" s="302">
        <v>0.18061109365573103</v>
      </c>
      <c r="H186" s="303">
        <v>25920.80456497</v>
      </c>
      <c r="I186" s="298">
        <v>3168.8884773700001</v>
      </c>
      <c r="J186" s="298">
        <v>3632.4281203199998</v>
      </c>
      <c r="K186" s="302">
        <v>0.14627830744448023</v>
      </c>
      <c r="L186" s="298">
        <v>4415.02340129</v>
      </c>
      <c r="M186" s="298">
        <v>5025.3129146499996</v>
      </c>
      <c r="N186" s="298">
        <v>5515.0000174999996</v>
      </c>
      <c r="O186" s="306">
        <v>6818.80766477</v>
      </c>
      <c r="P186" s="306" cm="1">
        <f t="array" ref="P186">INDEX($E$152:$E$676, MATCH($B186, $B$153:$B$676, 0) * MATCH("Brazil", $A$152:$A$676, 0))</f>
        <v>28997.54011306</v>
      </c>
      <c r="Q186" s="306">
        <f t="shared" si="11"/>
        <v>25920.80456497</v>
      </c>
      <c r="R186" s="336">
        <f>INDEX('Base GDP'!$A$1:$E$76,MATCH(A186,'Base GDP'!$A$1:$A$76,0),4)</f>
        <v>295018.32730579999</v>
      </c>
      <c r="S186" s="336">
        <f>INDEX('Base GDP'!$A$1:$E$76,MATCH(A186,'Base GDP'!$A$1:$A$76,0),5)</f>
        <v>332655.81031924998</v>
      </c>
      <c r="T186" s="335">
        <f t="shared" si="12"/>
        <v>1.0741327517884347E-2</v>
      </c>
      <c r="U186" s="335">
        <f t="shared" si="13"/>
        <v>1.0919478955843148E-2</v>
      </c>
      <c r="V186" s="335">
        <f t="shared" si="14"/>
        <v>1.7815143795880083E-4</v>
      </c>
    </row>
    <row r="187" spans="1:22" x14ac:dyDescent="0.45">
      <c r="A187" s="293" t="s">
        <v>154</v>
      </c>
      <c r="B187" s="297" t="s">
        <v>1</v>
      </c>
      <c r="C187" s="293" t="str">
        <f t="shared" si="10"/>
        <v>PakistanManufacture of chemicals and chemical products (C20)</v>
      </c>
      <c r="D187" s="297" t="s">
        <v>958</v>
      </c>
      <c r="E187" s="298">
        <v>2054.4424514500001</v>
      </c>
      <c r="F187" s="298">
        <v>3439.4182519400001</v>
      </c>
      <c r="G187" s="302">
        <v>0.67413706308127597</v>
      </c>
      <c r="H187" s="303">
        <v>26943.097661610002</v>
      </c>
      <c r="I187" s="298">
        <v>2445.6771420700002</v>
      </c>
      <c r="J187" s="298">
        <v>3439.4182519400001</v>
      </c>
      <c r="K187" s="302">
        <v>0.4063255499983558</v>
      </c>
      <c r="L187" s="298">
        <v>4170.8665158900003</v>
      </c>
      <c r="M187" s="298">
        <v>5061.3375680299996</v>
      </c>
      <c r="N187" s="298">
        <v>5749.5054175100004</v>
      </c>
      <c r="O187" s="306">
        <v>7686.8027362700004</v>
      </c>
      <c r="P187" s="306" cm="1">
        <f t="array" ref="P187">INDEX($E$152:$E$676, MATCH($B187, $B$153:$B$676, 0) * MATCH("Brazil", $A$152:$A$676, 0))</f>
        <v>28997.54011306</v>
      </c>
      <c r="Q187" s="306">
        <f t="shared" si="11"/>
        <v>26943.097661610002</v>
      </c>
      <c r="R187" s="336">
        <f>INDEX('Base GDP'!$A$1:$E$76,MATCH(A187,'Base GDP'!$A$1:$A$76,0),4)</f>
        <v>243681.57424943999</v>
      </c>
      <c r="S187" s="336">
        <f>INDEX('Base GDP'!$A$1:$E$76,MATCH(A187,'Base GDP'!$A$1:$A$76,0),5)</f>
        <v>307178.14587732003</v>
      </c>
      <c r="T187" s="335">
        <f t="shared" si="12"/>
        <v>1.0036364668124352E-2</v>
      </c>
      <c r="U187" s="335">
        <f t="shared" si="13"/>
        <v>1.1196819494162926E-2</v>
      </c>
      <c r="V187" s="335">
        <f t="shared" si="14"/>
        <v>1.1604548260385743E-3</v>
      </c>
    </row>
    <row r="188" spans="1:22" x14ac:dyDescent="0.45">
      <c r="A188" s="293" t="s">
        <v>120</v>
      </c>
      <c r="B188" s="297" t="s">
        <v>1</v>
      </c>
      <c r="C188" s="293" t="str">
        <f t="shared" si="10"/>
        <v>AustraliaManufacture of chemicals and chemical products (C20)</v>
      </c>
      <c r="D188" s="297" t="s">
        <v>958</v>
      </c>
      <c r="E188" s="298">
        <v>4257.9990671899996</v>
      </c>
      <c r="F188" s="298">
        <v>3405.9686646599998</v>
      </c>
      <c r="G188" s="302">
        <v>-0.20010112475019493</v>
      </c>
      <c r="H188" s="303">
        <v>24739.541045869999</v>
      </c>
      <c r="I188" s="298">
        <v>3825.5041254299999</v>
      </c>
      <c r="J188" s="298">
        <v>3405.9686646599998</v>
      </c>
      <c r="K188" s="302">
        <v>-0.10966801943334537</v>
      </c>
      <c r="L188" s="298">
        <v>3622.4760013999999</v>
      </c>
      <c r="M188" s="298">
        <v>3811.4032169299999</v>
      </c>
      <c r="N188" s="298">
        <v>3930.3013696799999</v>
      </c>
      <c r="O188" s="306">
        <v>4229.3414360200004</v>
      </c>
      <c r="P188" s="306" cm="1">
        <f t="array" ref="P188">INDEX($E$152:$E$676, MATCH($B188, $B$153:$B$676, 0) * MATCH("Brazil", $A$152:$A$676, 0))</f>
        <v>28997.54011306</v>
      </c>
      <c r="Q188" s="306">
        <f t="shared" si="11"/>
        <v>24739.541045869999</v>
      </c>
      <c r="R188" s="336">
        <f>INDEX('Base GDP'!$A$1:$E$76,MATCH(A188,'Base GDP'!$A$1:$A$76,0),4)</f>
        <v>1256563.3075111001</v>
      </c>
      <c r="S188" s="336">
        <f>INDEX('Base GDP'!$A$1:$E$76,MATCH(A188,'Base GDP'!$A$1:$A$76,0),5)</f>
        <v>1430586.2916371</v>
      </c>
      <c r="T188" s="335">
        <f t="shared" si="12"/>
        <v>3.0444181383962677E-3</v>
      </c>
      <c r="U188" s="335">
        <f t="shared" si="13"/>
        <v>2.3808201466563469E-3</v>
      </c>
      <c r="V188" s="335">
        <f t="shared" si="14"/>
        <v>-6.635979917399208E-4</v>
      </c>
    </row>
    <row r="189" spans="1:22" x14ac:dyDescent="0.45">
      <c r="A189" s="293" t="s">
        <v>116</v>
      </c>
      <c r="B189" s="297" t="s">
        <v>1</v>
      </c>
      <c r="C189" s="293" t="str">
        <f t="shared" si="10"/>
        <v>DenmarkManufacture of chemicals and chemical products (C20)</v>
      </c>
      <c r="D189" s="297" t="s">
        <v>958</v>
      </c>
      <c r="E189" s="298">
        <v>1750.33947122</v>
      </c>
      <c r="F189" s="298">
        <v>3221.92173379</v>
      </c>
      <c r="G189" s="302">
        <v>0.84074106010092775</v>
      </c>
      <c r="H189" s="303">
        <v>27247.200641840001</v>
      </c>
      <c r="I189" s="298">
        <v>2493.448633</v>
      </c>
      <c r="J189" s="298">
        <v>3221.92173379</v>
      </c>
      <c r="K189" s="302">
        <v>0.29215484576216655</v>
      </c>
      <c r="L189" s="298">
        <v>3512.2763303699999</v>
      </c>
      <c r="M189" s="298">
        <v>3556.7529971600002</v>
      </c>
      <c r="N189" s="298">
        <v>3600.3708072600002</v>
      </c>
      <c r="O189" s="306">
        <v>3732.85167981</v>
      </c>
      <c r="P189" s="306" cm="1">
        <f t="array" ref="P189">INDEX($E$152:$E$676, MATCH($B189, $B$153:$B$676, 0) * MATCH("Brazil", $A$152:$A$676, 0))</f>
        <v>28997.54011306</v>
      </c>
      <c r="Q189" s="306">
        <f t="shared" si="11"/>
        <v>27247.200641840001</v>
      </c>
      <c r="R189" s="336">
        <f>INDEX('Base GDP'!$A$1:$E$76,MATCH(A189,'Base GDP'!$A$1:$A$76,0),4)</f>
        <v>315318.76572541997</v>
      </c>
      <c r="S189" s="336">
        <f>INDEX('Base GDP'!$A$1:$E$76,MATCH(A189,'Base GDP'!$A$1:$A$76,0),5)</f>
        <v>361238.79673869</v>
      </c>
      <c r="T189" s="335">
        <f t="shared" si="12"/>
        <v>7.9077077041818013E-3</v>
      </c>
      <c r="U189" s="335">
        <f t="shared" si="13"/>
        <v>8.9190910912059305E-3</v>
      </c>
      <c r="V189" s="335">
        <f t="shared" si="14"/>
        <v>1.0113833870241291E-3</v>
      </c>
    </row>
    <row r="190" spans="1:22" x14ac:dyDescent="0.45">
      <c r="A190" s="293" t="s">
        <v>122</v>
      </c>
      <c r="B190" s="297" t="s">
        <v>1</v>
      </c>
      <c r="C190" s="293" t="str">
        <f t="shared" si="10"/>
        <v>VietnamManufacture of chemicals and chemical products (C20)</v>
      </c>
      <c r="D190" s="297" t="s">
        <v>958</v>
      </c>
      <c r="E190" s="298">
        <v>1837.0726042900001</v>
      </c>
      <c r="F190" s="298">
        <v>3179.4687450500001</v>
      </c>
      <c r="G190" s="302">
        <v>0.73072568695716589</v>
      </c>
      <c r="H190" s="303">
        <v>27160.467508770002</v>
      </c>
      <c r="I190" s="298">
        <v>2408.5446115999998</v>
      </c>
      <c r="J190" s="298">
        <v>3179.4687450500001</v>
      </c>
      <c r="K190" s="302">
        <v>0.32007882674752453</v>
      </c>
      <c r="L190" s="298">
        <v>4263.0884472199996</v>
      </c>
      <c r="M190" s="298">
        <v>5760.3790787799999</v>
      </c>
      <c r="N190" s="298">
        <v>7126.9153066999997</v>
      </c>
      <c r="O190" s="306">
        <v>11135.860535850001</v>
      </c>
      <c r="P190" s="306" cm="1">
        <f t="array" ref="P190">INDEX($E$152:$E$676, MATCH($B190, $B$153:$B$676, 0) * MATCH("Brazil", $A$152:$A$676, 0))</f>
        <v>28997.54011306</v>
      </c>
      <c r="Q190" s="306">
        <f t="shared" si="11"/>
        <v>27160.467508770002</v>
      </c>
      <c r="R190" s="336">
        <f>INDEX('Base GDP'!$A$1:$E$76,MATCH(A190,'Base GDP'!$A$1:$A$76,0),4)</f>
        <v>254018.52751081</v>
      </c>
      <c r="S190" s="336">
        <f>INDEX('Base GDP'!$A$1:$E$76,MATCH(A190,'Base GDP'!$A$1:$A$76,0),5)</f>
        <v>352775.42056751001</v>
      </c>
      <c r="T190" s="335">
        <f t="shared" si="12"/>
        <v>9.4817674726403647E-3</v>
      </c>
      <c r="U190" s="335">
        <f t="shared" si="13"/>
        <v>9.0127275305495694E-3</v>
      </c>
      <c r="V190" s="335">
        <f t="shared" si="14"/>
        <v>-4.6903994209079522E-4</v>
      </c>
    </row>
    <row r="191" spans="1:22" x14ac:dyDescent="0.45">
      <c r="A191" s="293" t="s">
        <v>72</v>
      </c>
      <c r="B191" s="297" t="s">
        <v>1</v>
      </c>
      <c r="C191" s="293" t="str">
        <f t="shared" si="10"/>
        <v>AustriaManufacture of chemicals and chemical products (C20)</v>
      </c>
      <c r="D191" s="297" t="s">
        <v>958</v>
      </c>
      <c r="E191" s="298">
        <v>2327.7454847899999</v>
      </c>
      <c r="F191" s="298">
        <v>3149.9905820700001</v>
      </c>
      <c r="G191" s="302">
        <v>0.35323668444541312</v>
      </c>
      <c r="H191" s="303">
        <v>26669.79462827</v>
      </c>
      <c r="I191" s="298">
        <v>2669.5046905999998</v>
      </c>
      <c r="J191" s="298">
        <v>3149.9905820700001</v>
      </c>
      <c r="K191" s="302">
        <v>0.17999065263376846</v>
      </c>
      <c r="L191" s="298">
        <v>2927.3498078900002</v>
      </c>
      <c r="M191" s="298">
        <v>3164.4186828799998</v>
      </c>
      <c r="N191" s="298">
        <v>3351.30399549</v>
      </c>
      <c r="O191" s="306">
        <v>3797.02570612</v>
      </c>
      <c r="P191" s="306" cm="1">
        <f t="array" ref="P191">INDEX($E$152:$E$676, MATCH($B191, $B$153:$B$676, 0) * MATCH("Brazil", $A$152:$A$676, 0))</f>
        <v>28997.54011306</v>
      </c>
      <c r="Q191" s="306">
        <f t="shared" si="11"/>
        <v>26669.79462827</v>
      </c>
      <c r="R191" s="336">
        <f>INDEX('Base GDP'!$A$1:$E$76,MATCH(A191,'Base GDP'!$A$1:$A$76,0),4)</f>
        <v>410010.85265116999</v>
      </c>
      <c r="S191" s="336">
        <f>INDEX('Base GDP'!$A$1:$E$76,MATCH(A191,'Base GDP'!$A$1:$A$76,0),5)</f>
        <v>432694.04992214998</v>
      </c>
      <c r="T191" s="335">
        <f t="shared" si="12"/>
        <v>6.5108147097539572E-3</v>
      </c>
      <c r="U191" s="335">
        <f t="shared" si="13"/>
        <v>7.2799489214994849E-3</v>
      </c>
      <c r="V191" s="335">
        <f t="shared" si="14"/>
        <v>7.6913421174552767E-4</v>
      </c>
    </row>
    <row r="192" spans="1:22" x14ac:dyDescent="0.45">
      <c r="A192" s="293" t="s">
        <v>145</v>
      </c>
      <c r="B192" s="297" t="s">
        <v>1</v>
      </c>
      <c r="C192" s="293" t="str">
        <f t="shared" si="10"/>
        <v>South AfricaManufacture of chemicals and chemical products (C20)</v>
      </c>
      <c r="D192" s="297" t="s">
        <v>958</v>
      </c>
      <c r="E192" s="298">
        <v>2872.0300468</v>
      </c>
      <c r="F192" s="298">
        <v>2845.4852590599999</v>
      </c>
      <c r="G192" s="302">
        <v>-9.2425174205876814E-3</v>
      </c>
      <c r="H192" s="303">
        <v>26125.510066260002</v>
      </c>
      <c r="I192" s="298">
        <v>3247.0641539799999</v>
      </c>
      <c r="J192" s="298">
        <v>2845.4852590599999</v>
      </c>
      <c r="K192" s="302">
        <v>-0.12367445664040111</v>
      </c>
      <c r="L192" s="298">
        <v>2902.0535153800001</v>
      </c>
      <c r="M192" s="298">
        <v>3101.22075984</v>
      </c>
      <c r="N192" s="298">
        <v>3287.3827628200002</v>
      </c>
      <c r="O192" s="306">
        <v>3733.2539940800002</v>
      </c>
      <c r="P192" s="306" cm="1">
        <f t="array" ref="P192">INDEX($E$152:$E$676, MATCH($B192, $B$153:$B$676, 0) * MATCH("Brazil", $A$152:$A$676, 0))</f>
        <v>28997.54011306</v>
      </c>
      <c r="Q192" s="306">
        <f t="shared" si="11"/>
        <v>26125.510066260002</v>
      </c>
      <c r="R192" s="336">
        <f>INDEX('Base GDP'!$A$1:$E$76,MATCH(A192,'Base GDP'!$A$1:$A$76,0),4)</f>
        <v>375376.48654821003</v>
      </c>
      <c r="S192" s="336">
        <f>INDEX('Base GDP'!$A$1:$E$76,MATCH(A192,'Base GDP'!$A$1:$A$76,0),5)</f>
        <v>383209.69906191999</v>
      </c>
      <c r="T192" s="335">
        <f t="shared" si="12"/>
        <v>8.6501533003265924E-3</v>
      </c>
      <c r="U192" s="335">
        <f t="shared" si="13"/>
        <v>7.4253998946937384E-3</v>
      </c>
      <c r="V192" s="335">
        <f t="shared" si="14"/>
        <v>-1.224753405632854E-3</v>
      </c>
    </row>
    <row r="193" spans="1:22" x14ac:dyDescent="0.45">
      <c r="A193" s="293" t="s">
        <v>126</v>
      </c>
      <c r="B193" s="297" t="s">
        <v>1</v>
      </c>
      <c r="C193" s="293" t="str">
        <f t="shared" si="10"/>
        <v>FinlandManufacture of chemicals and chemical products (C20)</v>
      </c>
      <c r="D193" s="297" t="s">
        <v>958</v>
      </c>
      <c r="E193" s="298">
        <v>2210.81752916</v>
      </c>
      <c r="F193" s="298">
        <v>2418.9211452099998</v>
      </c>
      <c r="G193" s="302">
        <v>9.4129711432616059E-2</v>
      </c>
      <c r="H193" s="303">
        <v>26786.722583900002</v>
      </c>
      <c r="I193" s="298">
        <v>2416.3638154199998</v>
      </c>
      <c r="J193" s="298">
        <v>2418.9211452099998</v>
      </c>
      <c r="K193" s="302">
        <v>1.0583380588968794E-3</v>
      </c>
      <c r="L193" s="298">
        <v>2554.74219898</v>
      </c>
      <c r="M193" s="298">
        <v>2731.2702123499998</v>
      </c>
      <c r="N193" s="298">
        <v>2852.3636061500001</v>
      </c>
      <c r="O193" s="306">
        <v>3161.17511109</v>
      </c>
      <c r="P193" s="306" cm="1">
        <f t="array" ref="P193">INDEX($E$152:$E$676, MATCH($B193, $B$153:$B$676, 0) * MATCH("Brazil", $A$152:$A$676, 0))</f>
        <v>28997.54011306</v>
      </c>
      <c r="Q193" s="306">
        <f t="shared" si="11"/>
        <v>26786.722583900002</v>
      </c>
      <c r="R193" s="336">
        <f>INDEX('Base GDP'!$A$1:$E$76,MATCH(A193,'Base GDP'!$A$1:$A$76,0),4)</f>
        <v>247207.29862345001</v>
      </c>
      <c r="S193" s="336">
        <f>INDEX('Base GDP'!$A$1:$E$76,MATCH(A193,'Base GDP'!$A$1:$A$76,0),5)</f>
        <v>270499.52733732999</v>
      </c>
      <c r="T193" s="335">
        <f t="shared" si="12"/>
        <v>9.774645930258891E-3</v>
      </c>
      <c r="U193" s="335">
        <f t="shared" si="13"/>
        <v>8.9424228168556181E-3</v>
      </c>
      <c r="V193" s="335">
        <f t="shared" si="14"/>
        <v>-8.3222311340327287E-4</v>
      </c>
    </row>
    <row r="194" spans="1:22" x14ac:dyDescent="0.45">
      <c r="A194" s="293" t="s">
        <v>150</v>
      </c>
      <c r="B194" s="297" t="s">
        <v>1</v>
      </c>
      <c r="C194" s="293" t="str">
        <f t="shared" ref="C194:C257" si="15">A194&amp;B194</f>
        <v>PhilippinesManufacture of chemicals and chemical products (C20)</v>
      </c>
      <c r="D194" s="297" t="s">
        <v>958</v>
      </c>
      <c r="E194" s="298">
        <v>1207.3344990799999</v>
      </c>
      <c r="F194" s="298">
        <v>2306.7731951400001</v>
      </c>
      <c r="G194" s="302">
        <v>0.91063304899991082</v>
      </c>
      <c r="H194" s="303">
        <v>27790.205613980001</v>
      </c>
      <c r="I194" s="298">
        <v>1697.8821600399999</v>
      </c>
      <c r="J194" s="298">
        <v>2306.7731951400001</v>
      </c>
      <c r="K194" s="302">
        <v>0.35861795914367556</v>
      </c>
      <c r="L194" s="298">
        <v>3434.41118099</v>
      </c>
      <c r="M194" s="298">
        <v>3924.4360111199999</v>
      </c>
      <c r="N194" s="298">
        <v>4282.9426258900003</v>
      </c>
      <c r="O194" s="306">
        <v>5125.8645397999999</v>
      </c>
      <c r="P194" s="306" cm="1">
        <f t="array" ref="P194">INDEX($E$152:$E$676, MATCH($B194, $B$153:$B$676, 0) * MATCH("Brazil", $A$152:$A$676, 0))</f>
        <v>28997.54011306</v>
      </c>
      <c r="Q194" s="306">
        <f t="shared" si="11"/>
        <v>27790.205613980001</v>
      </c>
      <c r="R194" s="336">
        <f>INDEX('Base GDP'!$A$1:$E$76,MATCH(A194,'Base GDP'!$A$1:$A$76,0),4)</f>
        <v>291518.00825125998</v>
      </c>
      <c r="S194" s="336">
        <f>INDEX('Base GDP'!$A$1:$E$76,MATCH(A194,'Base GDP'!$A$1:$A$76,0),5)</f>
        <v>360513.15606205998</v>
      </c>
      <c r="T194" s="335">
        <f t="shared" si="12"/>
        <v>5.8242788163419112E-3</v>
      </c>
      <c r="U194" s="335">
        <f t="shared" si="13"/>
        <v>6.3985825658548342E-3</v>
      </c>
      <c r="V194" s="335">
        <f t="shared" si="14"/>
        <v>5.7430374951292305E-4</v>
      </c>
    </row>
    <row r="195" spans="1:22" x14ac:dyDescent="0.45">
      <c r="A195" s="293" t="s">
        <v>111</v>
      </c>
      <c r="B195" s="297" t="s">
        <v>1</v>
      </c>
      <c r="C195" s="293" t="str">
        <f t="shared" si="15"/>
        <v>Czech RepublicManufacture of chemicals and chemical products (C20)</v>
      </c>
      <c r="D195" s="297" t="s">
        <v>958</v>
      </c>
      <c r="E195" s="298">
        <v>1090.72527193</v>
      </c>
      <c r="F195" s="298">
        <v>2194.7783701200001</v>
      </c>
      <c r="G195" s="302">
        <v>1.0122192330213613</v>
      </c>
      <c r="H195" s="303">
        <v>27906.814841129999</v>
      </c>
      <c r="I195" s="298">
        <v>1491.7850565000001</v>
      </c>
      <c r="J195" s="298">
        <v>2194.7783701200001</v>
      </c>
      <c r="K195" s="302">
        <v>0.47124303233694431</v>
      </c>
      <c r="L195" s="298">
        <v>2234.3457165200002</v>
      </c>
      <c r="M195" s="298">
        <v>2357.5943806400001</v>
      </c>
      <c r="N195" s="298">
        <v>2416.2076270299999</v>
      </c>
      <c r="O195" s="306">
        <v>2441.4128961900001</v>
      </c>
      <c r="P195" s="306" cm="1">
        <f t="array" ref="P195">INDEX($E$152:$E$676, MATCH($B195, $B$153:$B$676, 0) * MATCH("Brazil", $A$152:$A$676, 0))</f>
        <v>28997.54011306</v>
      </c>
      <c r="Q195" s="306">
        <f t="shared" ref="Q195:Q258" si="16">P195-E195</f>
        <v>27906.814841129999</v>
      </c>
      <c r="R195" s="336">
        <f>INDEX('Base GDP'!$A$1:$E$76,MATCH(A195,'Base GDP'!$A$1:$A$76,0),4)</f>
        <v>220291.04889604999</v>
      </c>
      <c r="S195" s="336">
        <f>INDEX('Base GDP'!$A$1:$E$76,MATCH(A195,'Base GDP'!$A$1:$A$76,0),5)</f>
        <v>247058.51905223</v>
      </c>
      <c r="T195" s="335">
        <f t="shared" ref="T195:T258" si="17">I195/R195</f>
        <v>6.7718823074102178E-3</v>
      </c>
      <c r="U195" s="335">
        <f t="shared" ref="U195:U258" si="18">J195/S195</f>
        <v>8.8836376844629583E-3</v>
      </c>
      <c r="V195" s="335">
        <f t="shared" ref="V195:V258" si="19">U195-T195</f>
        <v>2.1117553770527405E-3</v>
      </c>
    </row>
    <row r="196" spans="1:22" x14ac:dyDescent="0.45">
      <c r="A196" s="293" t="s">
        <v>164</v>
      </c>
      <c r="B196" s="297" t="s">
        <v>1</v>
      </c>
      <c r="C196" s="293" t="str">
        <f t="shared" si="15"/>
        <v>MoroccoManufacture of chemicals and chemical products (C20)</v>
      </c>
      <c r="D196" s="297" t="s">
        <v>958</v>
      </c>
      <c r="E196" s="298">
        <v>1394.9624153300001</v>
      </c>
      <c r="F196" s="298">
        <v>2167.7988798299998</v>
      </c>
      <c r="G196" s="302">
        <v>0.55401956067552782</v>
      </c>
      <c r="H196" s="303">
        <v>27602.577697730001</v>
      </c>
      <c r="I196" s="298">
        <v>1548.27807224</v>
      </c>
      <c r="J196" s="298">
        <v>2167.7988798299998</v>
      </c>
      <c r="K196" s="302">
        <v>0.40013536243763803</v>
      </c>
      <c r="L196" s="298">
        <v>2216.4190986499998</v>
      </c>
      <c r="M196" s="298">
        <v>2493.44031589</v>
      </c>
      <c r="N196" s="298">
        <v>2688.1272344600002</v>
      </c>
      <c r="O196" s="306">
        <v>3208.14127616</v>
      </c>
      <c r="P196" s="306" cm="1">
        <f t="array" ref="P196">INDEX($E$152:$E$676, MATCH($B196, $B$153:$B$676, 0) * MATCH("Brazil", $A$152:$A$676, 0))</f>
        <v>28997.54011306</v>
      </c>
      <c r="Q196" s="306">
        <f t="shared" si="16"/>
        <v>27602.577697730001</v>
      </c>
      <c r="R196" s="336">
        <f>INDEX('Base GDP'!$A$1:$E$76,MATCH(A196,'Base GDP'!$A$1:$A$76,0),4)</f>
        <v>115608.87885166</v>
      </c>
      <c r="S196" s="336">
        <f>INDEX('Base GDP'!$A$1:$E$76,MATCH(A196,'Base GDP'!$A$1:$A$76,0),5)</f>
        <v>129710.11086108</v>
      </c>
      <c r="T196" s="335">
        <f t="shared" si="17"/>
        <v>1.3392380305206711E-2</v>
      </c>
      <c r="U196" s="335">
        <f t="shared" si="18"/>
        <v>1.671264379807462E-2</v>
      </c>
      <c r="V196" s="335">
        <f t="shared" si="19"/>
        <v>3.3202634928679083E-3</v>
      </c>
    </row>
    <row r="197" spans="1:22" x14ac:dyDescent="0.45">
      <c r="A197" s="293" t="s">
        <v>147</v>
      </c>
      <c r="B197" s="297" t="s">
        <v>1</v>
      </c>
      <c r="C197" s="293" t="str">
        <f t="shared" si="15"/>
        <v>PeruManufacture of chemicals and chemical products (C20)</v>
      </c>
      <c r="D197" s="297" t="s">
        <v>958</v>
      </c>
      <c r="E197" s="298">
        <v>1308.7505564099999</v>
      </c>
      <c r="F197" s="298">
        <v>1902.0589202900001</v>
      </c>
      <c r="G197" s="302">
        <v>0.4533395313370403</v>
      </c>
      <c r="H197" s="303">
        <v>27688.789556650001</v>
      </c>
      <c r="I197" s="298">
        <v>1645.6191251499999</v>
      </c>
      <c r="J197" s="298">
        <v>1902.0589202900001</v>
      </c>
      <c r="K197" s="302">
        <v>0.15583180288854837</v>
      </c>
      <c r="L197" s="298">
        <v>2240.99404469</v>
      </c>
      <c r="M197" s="298">
        <v>2661.2580246100001</v>
      </c>
      <c r="N197" s="298">
        <v>3029.61531079</v>
      </c>
      <c r="O197" s="306">
        <v>4065.5803713</v>
      </c>
      <c r="P197" s="306" cm="1">
        <f t="array" ref="P197">INDEX($E$152:$E$676, MATCH($B197, $B$153:$B$676, 0) * MATCH("Brazil", $A$152:$A$676, 0))</f>
        <v>28997.54011306</v>
      </c>
      <c r="Q197" s="306">
        <f t="shared" si="16"/>
        <v>27688.789556650001</v>
      </c>
      <c r="R197" s="336">
        <f>INDEX('Base GDP'!$A$1:$E$76,MATCH(A197,'Base GDP'!$A$1:$A$76,0),4)</f>
        <v>205342.67167914001</v>
      </c>
      <c r="S197" s="336">
        <f>INDEX('Base GDP'!$A$1:$E$76,MATCH(A197,'Base GDP'!$A$1:$A$76,0),5)</f>
        <v>235110.76142220001</v>
      </c>
      <c r="T197" s="335">
        <f t="shared" si="17"/>
        <v>8.0140143872354814E-3</v>
      </c>
      <c r="U197" s="335">
        <f t="shared" si="18"/>
        <v>8.0900546992588689E-3</v>
      </c>
      <c r="V197" s="335">
        <f t="shared" si="19"/>
        <v>7.6040312023387471E-5</v>
      </c>
    </row>
    <row r="198" spans="1:22" x14ac:dyDescent="0.45">
      <c r="A198" s="293" t="s">
        <v>151</v>
      </c>
      <c r="B198" s="297" t="s">
        <v>1</v>
      </c>
      <c r="C198" s="293" t="str">
        <f t="shared" si="15"/>
        <v>NorwayManufacture of chemicals and chemical products (C20)</v>
      </c>
      <c r="D198" s="297" t="s">
        <v>958</v>
      </c>
      <c r="E198" s="298">
        <v>1638.3709946399999</v>
      </c>
      <c r="F198" s="298">
        <v>1800.35946244</v>
      </c>
      <c r="G198" s="302">
        <v>9.8871664799945913E-2</v>
      </c>
      <c r="H198" s="303">
        <v>27359.169118419999</v>
      </c>
      <c r="I198" s="298">
        <v>1687.452577</v>
      </c>
      <c r="J198" s="298">
        <v>1800.35946244</v>
      </c>
      <c r="K198" s="302">
        <v>6.6909664294524385E-2</v>
      </c>
      <c r="L198" s="298">
        <v>1609.84655982</v>
      </c>
      <c r="M198" s="298">
        <v>1641.89149877</v>
      </c>
      <c r="N198" s="298">
        <v>1663.4025064499999</v>
      </c>
      <c r="O198" s="306">
        <v>1727.4597056099999</v>
      </c>
      <c r="P198" s="306" cm="1">
        <f t="array" ref="P198">INDEX($E$152:$E$676, MATCH($B198, $B$153:$B$676, 0) * MATCH("Brazil", $A$152:$A$676, 0))</f>
        <v>28997.54011306</v>
      </c>
      <c r="Q198" s="306">
        <f t="shared" si="16"/>
        <v>27359.169118419999</v>
      </c>
      <c r="R198" s="336">
        <f>INDEX('Base GDP'!$A$1:$E$76,MATCH(A198,'Base GDP'!$A$1:$A$76,0),4)</f>
        <v>386512.35690163</v>
      </c>
      <c r="S198" s="336">
        <f>INDEX('Base GDP'!$A$1:$E$76,MATCH(A198,'Base GDP'!$A$1:$A$76,0),5)</f>
        <v>418559.21595058002</v>
      </c>
      <c r="T198" s="335">
        <f t="shared" si="17"/>
        <v>4.3658437999938718E-3</v>
      </c>
      <c r="U198" s="335">
        <f t="shared" si="18"/>
        <v>4.301325580303484E-3</v>
      </c>
      <c r="V198" s="335">
        <f t="shared" si="19"/>
        <v>-6.4518219690387797E-5</v>
      </c>
    </row>
    <row r="199" spans="1:22" x14ac:dyDescent="0.45">
      <c r="A199" s="293" t="s">
        <v>113</v>
      </c>
      <c r="B199" s="297" t="s">
        <v>1</v>
      </c>
      <c r="C199" s="293" t="str">
        <f t="shared" si="15"/>
        <v>HungaryManufacture of chemicals and chemical products (C20)</v>
      </c>
      <c r="D199" s="297" t="s">
        <v>958</v>
      </c>
      <c r="E199" s="298">
        <v>1480.34004669</v>
      </c>
      <c r="F199" s="298">
        <v>1622.3903462799999</v>
      </c>
      <c r="G199" s="302">
        <v>9.5957884749264588E-2</v>
      </c>
      <c r="H199" s="303">
        <v>27517.200066370002</v>
      </c>
      <c r="I199" s="298">
        <v>1538.8839696</v>
      </c>
      <c r="J199" s="298">
        <v>1622.3903462799999</v>
      </c>
      <c r="K199" s="302">
        <v>5.4264244952597407E-2</v>
      </c>
      <c r="L199" s="298">
        <v>1193.23417836</v>
      </c>
      <c r="M199" s="298">
        <v>1240.95849456</v>
      </c>
      <c r="N199" s="298">
        <v>1223.73034796</v>
      </c>
      <c r="O199" s="306">
        <v>1277.4673937099999</v>
      </c>
      <c r="P199" s="306" cm="1">
        <f t="array" ref="P199">INDEX($E$152:$E$676, MATCH($B199, $B$153:$B$676, 0) * MATCH("Brazil", $A$152:$A$676, 0))</f>
        <v>28997.54011306</v>
      </c>
      <c r="Q199" s="306">
        <f t="shared" si="16"/>
        <v>27517.200066370002</v>
      </c>
      <c r="R199" s="336">
        <f>INDEX('Base GDP'!$A$1:$E$76,MATCH(A199,'Base GDP'!$A$1:$A$76,0),4)</f>
        <v>139098.07965294999</v>
      </c>
      <c r="S199" s="336">
        <f>INDEX('Base GDP'!$A$1:$E$76,MATCH(A199,'Base GDP'!$A$1:$A$76,0),5)</f>
        <v>167320.49519441</v>
      </c>
      <c r="T199" s="335">
        <f t="shared" si="17"/>
        <v>1.1063301329820792E-2</v>
      </c>
      <c r="U199" s="335">
        <f t="shared" si="18"/>
        <v>9.6963037576176282E-3</v>
      </c>
      <c r="V199" s="335">
        <f t="shared" si="19"/>
        <v>-1.3669975722031633E-3</v>
      </c>
    </row>
    <row r="200" spans="1:22" x14ac:dyDescent="0.45">
      <c r="A200" s="293" t="s">
        <v>170</v>
      </c>
      <c r="B200" s="297" t="s">
        <v>1</v>
      </c>
      <c r="C200" s="293" t="str">
        <f t="shared" si="15"/>
        <v>ChileManufacture of chemicals and chemical products (C20)</v>
      </c>
      <c r="D200" s="297" t="s">
        <v>958</v>
      </c>
      <c r="E200" s="298">
        <v>1563.41816098</v>
      </c>
      <c r="F200" s="298">
        <v>1501.64575644</v>
      </c>
      <c r="G200" s="302">
        <v>-3.9511121260916604E-2</v>
      </c>
      <c r="H200" s="303">
        <v>27434.12195208</v>
      </c>
      <c r="I200" s="298">
        <v>1552.0191792999999</v>
      </c>
      <c r="J200" s="298">
        <v>1501.64575644</v>
      </c>
      <c r="K200" s="302">
        <v>-3.2456701264941601E-2</v>
      </c>
      <c r="L200" s="298">
        <v>1403.58043894</v>
      </c>
      <c r="M200" s="298">
        <v>1520.95754029</v>
      </c>
      <c r="N200" s="298">
        <v>1616.25654635</v>
      </c>
      <c r="O200" s="306">
        <v>1832.3526413699999</v>
      </c>
      <c r="P200" s="306" cm="1">
        <f t="array" ref="P200">INDEX($E$152:$E$676, MATCH($B200, $B$153:$B$676, 0) * MATCH("Brazil", $A$152:$A$676, 0))</f>
        <v>28997.54011306</v>
      </c>
      <c r="Q200" s="306">
        <f t="shared" si="16"/>
        <v>27434.12195208</v>
      </c>
      <c r="R200" s="336">
        <f>INDEX('Base GDP'!$A$1:$E$76,MATCH(A200,'Base GDP'!$A$1:$A$76,0),4)</f>
        <v>257576.69277617999</v>
      </c>
      <c r="S200" s="336">
        <f>INDEX('Base GDP'!$A$1:$E$76,MATCH(A200,'Base GDP'!$A$1:$A$76,0),5)</f>
        <v>291863.26262717001</v>
      </c>
      <c r="T200" s="335">
        <f t="shared" si="17"/>
        <v>6.0254643483935843E-3</v>
      </c>
      <c r="U200" s="335">
        <f t="shared" si="18"/>
        <v>5.1450317622133285E-3</v>
      </c>
      <c r="V200" s="335">
        <f t="shared" si="19"/>
        <v>-8.8043258618025581E-4</v>
      </c>
    </row>
    <row r="201" spans="1:22" x14ac:dyDescent="0.45">
      <c r="A201" s="293" t="s">
        <v>102</v>
      </c>
      <c r="B201" s="297" t="s">
        <v>1</v>
      </c>
      <c r="C201" s="293" t="str">
        <f t="shared" si="15"/>
        <v>NigeriaManufacture of chemicals and chemical products (C20)</v>
      </c>
      <c r="D201" s="297" t="s">
        <v>958</v>
      </c>
      <c r="E201" s="298">
        <v>397.57747965999999</v>
      </c>
      <c r="F201" s="298">
        <v>1434.0159959600001</v>
      </c>
      <c r="G201" s="302">
        <v>2.6068843667562378</v>
      </c>
      <c r="H201" s="303">
        <v>28599.962633399999</v>
      </c>
      <c r="I201" s="298">
        <v>1260.1223875200001</v>
      </c>
      <c r="J201" s="298">
        <v>1434.0159959600001</v>
      </c>
      <c r="K201" s="302">
        <v>0.13799739625468721</v>
      </c>
      <c r="L201" s="298">
        <v>1774.1184301999999</v>
      </c>
      <c r="M201" s="298">
        <v>2000.3133154100001</v>
      </c>
      <c r="N201" s="298">
        <v>2190.5255338100001</v>
      </c>
      <c r="O201" s="306">
        <v>2666.5135572300001</v>
      </c>
      <c r="P201" s="306" cm="1">
        <f t="array" ref="P201">INDEX($E$152:$E$676, MATCH($B201, $B$153:$B$676, 0) * MATCH("Brazil", $A$152:$A$676, 0))</f>
        <v>28997.54011306</v>
      </c>
      <c r="Q201" s="306">
        <f t="shared" si="16"/>
        <v>28599.962633399999</v>
      </c>
      <c r="R201" s="336">
        <f>INDEX('Base GDP'!$A$1:$E$76,MATCH(A201,'Base GDP'!$A$1:$A$76,0),4)</f>
        <v>460034.71302222001</v>
      </c>
      <c r="S201" s="336">
        <f>INDEX('Base GDP'!$A$1:$E$76,MATCH(A201,'Base GDP'!$A$1:$A$76,0),5)</f>
        <v>483780.49839321</v>
      </c>
      <c r="T201" s="335">
        <f t="shared" si="17"/>
        <v>2.7391897868783988E-3</v>
      </c>
      <c r="U201" s="335">
        <f t="shared" si="18"/>
        <v>2.9641872723741997E-3</v>
      </c>
      <c r="V201" s="335">
        <f t="shared" si="19"/>
        <v>2.249974854958009E-4</v>
      </c>
    </row>
    <row r="202" spans="1:22" x14ac:dyDescent="0.45">
      <c r="A202" s="293" t="s">
        <v>156</v>
      </c>
      <c r="B202" s="297" t="s">
        <v>1</v>
      </c>
      <c r="C202" s="293" t="str">
        <f t="shared" si="15"/>
        <v>GreeceManufacture of chemicals and chemical products (C20)</v>
      </c>
      <c r="D202" s="297" t="s">
        <v>958</v>
      </c>
      <c r="E202" s="298">
        <v>1058.4771175599999</v>
      </c>
      <c r="F202" s="298">
        <v>1206.04845761</v>
      </c>
      <c r="G202" s="302">
        <v>0.13941854538167187</v>
      </c>
      <c r="H202" s="303">
        <v>27939.0629955</v>
      </c>
      <c r="I202" s="298">
        <v>946.23525142999995</v>
      </c>
      <c r="J202" s="298">
        <v>1206.04845761</v>
      </c>
      <c r="K202" s="302">
        <v>0.27457569963426831</v>
      </c>
      <c r="L202" s="298">
        <v>1212.96738076</v>
      </c>
      <c r="M202" s="298">
        <v>1240.7337903099999</v>
      </c>
      <c r="N202" s="298">
        <v>1258.7540097599999</v>
      </c>
      <c r="O202" s="306">
        <v>1297.87529823</v>
      </c>
      <c r="P202" s="306" cm="1">
        <f t="array" ref="P202">INDEX($E$152:$E$676, MATCH($B202, $B$153:$B$676, 0) * MATCH("Brazil", $A$152:$A$676, 0))</f>
        <v>28997.54011306</v>
      </c>
      <c r="Q202" s="306">
        <f t="shared" si="16"/>
        <v>27939.0629955</v>
      </c>
      <c r="R202" s="336">
        <f>INDEX('Base GDP'!$A$1:$E$76,MATCH(A202,'Base GDP'!$A$1:$A$76,0),4)</f>
        <v>196841.83448053</v>
      </c>
      <c r="S202" s="336">
        <f>INDEX('Base GDP'!$A$1:$E$76,MATCH(A202,'Base GDP'!$A$1:$A$76,0),5)</f>
        <v>201121.93838619001</v>
      </c>
      <c r="T202" s="335">
        <f t="shared" si="17"/>
        <v>4.8070840933134764E-3</v>
      </c>
      <c r="U202" s="335">
        <f t="shared" si="18"/>
        <v>5.9966031915134575E-3</v>
      </c>
      <c r="V202" s="335">
        <f t="shared" si="19"/>
        <v>1.1895190981999811E-3</v>
      </c>
    </row>
    <row r="203" spans="1:22" x14ac:dyDescent="0.45">
      <c r="A203" s="293" t="s">
        <v>149</v>
      </c>
      <c r="B203" s="297" t="s">
        <v>1</v>
      </c>
      <c r="C203" s="293" t="str">
        <f t="shared" si="15"/>
        <v>UkraineManufacture of chemicals and chemical products (C20)</v>
      </c>
      <c r="D203" s="297" t="s">
        <v>958</v>
      </c>
      <c r="E203" s="298">
        <v>1274.56030472</v>
      </c>
      <c r="F203" s="298">
        <v>1127.8772156</v>
      </c>
      <c r="G203" s="302">
        <v>-0.1150852482827196</v>
      </c>
      <c r="H203" s="303">
        <v>27722.979808340002</v>
      </c>
      <c r="I203" s="298">
        <v>919.27952550999998</v>
      </c>
      <c r="J203" s="298">
        <v>1127.8772156</v>
      </c>
      <c r="K203" s="302">
        <v>0.22691432181552584</v>
      </c>
      <c r="L203" s="298">
        <v>729.5552351</v>
      </c>
      <c r="M203" s="298">
        <v>905.06943782999997</v>
      </c>
      <c r="N203" s="298">
        <v>1175.1838071300001</v>
      </c>
      <c r="O203" s="306">
        <v>1990.3677172499999</v>
      </c>
      <c r="P203" s="306" cm="1">
        <f t="array" ref="P203">INDEX($E$152:$E$676, MATCH($B203, $B$153:$B$676, 0) * MATCH("Brazil", $A$152:$A$676, 0))</f>
        <v>28997.54011306</v>
      </c>
      <c r="Q203" s="306">
        <f t="shared" si="16"/>
        <v>27722.979808340002</v>
      </c>
      <c r="R203" s="336">
        <f>INDEX('Base GDP'!$A$1:$E$76,MATCH(A203,'Base GDP'!$A$1:$A$76,0),4)</f>
        <v>137743.94890503999</v>
      </c>
      <c r="S203" s="336">
        <f>INDEX('Base GDP'!$A$1:$E$76,MATCH(A203,'Base GDP'!$A$1:$A$76,0),5)</f>
        <v>153275.23415388001</v>
      </c>
      <c r="T203" s="335">
        <f t="shared" si="17"/>
        <v>6.6738287439671619E-3</v>
      </c>
      <c r="U203" s="335">
        <f t="shared" si="18"/>
        <v>7.358509167030027E-3</v>
      </c>
      <c r="V203" s="335">
        <f t="shared" si="19"/>
        <v>6.8468042306286513E-4</v>
      </c>
    </row>
    <row r="204" spans="1:22" x14ac:dyDescent="0.45">
      <c r="A204" s="293" t="s">
        <v>159</v>
      </c>
      <c r="B204" s="297" t="s">
        <v>1</v>
      </c>
      <c r="C204" s="293" t="str">
        <f t="shared" si="15"/>
        <v>KuwaitManufacture of chemicals and chemical products (C20)</v>
      </c>
      <c r="D204" s="297" t="s">
        <v>958</v>
      </c>
      <c r="E204" s="298">
        <v>791.83548542999995</v>
      </c>
      <c r="F204" s="298">
        <v>1125.83563916</v>
      </c>
      <c r="G204" s="302">
        <v>0.42180498332759608</v>
      </c>
      <c r="H204" s="303">
        <v>28205.704627629999</v>
      </c>
      <c r="I204" s="298">
        <v>959.25315799999998</v>
      </c>
      <c r="J204" s="298">
        <v>1125.83563916</v>
      </c>
      <c r="K204" s="302">
        <v>0.17365851732749782</v>
      </c>
      <c r="L204" s="298">
        <v>1233.2560462199999</v>
      </c>
      <c r="M204" s="298">
        <v>1294.5524193599999</v>
      </c>
      <c r="N204" s="298">
        <v>1309.2109533400001</v>
      </c>
      <c r="O204" s="306">
        <v>1348.86851376</v>
      </c>
      <c r="P204" s="306" cm="1">
        <f t="array" ref="P204">INDEX($E$152:$E$676, MATCH($B204, $B$153:$B$676, 0) * MATCH("Brazil", $A$152:$A$676, 0))</f>
        <v>28997.54011306</v>
      </c>
      <c r="Q204" s="306">
        <f t="shared" si="16"/>
        <v>28205.704627629999</v>
      </c>
      <c r="R204" s="336">
        <f>INDEX('Base GDP'!$A$1:$E$76,MATCH(A204,'Base GDP'!$A$1:$A$76,0),4)</f>
        <v>136318.13330372999</v>
      </c>
      <c r="S204" s="336">
        <f>INDEX('Base GDP'!$A$1:$E$76,MATCH(A204,'Base GDP'!$A$1:$A$76,0),5)</f>
        <v>128320.86664452001</v>
      </c>
      <c r="T204" s="335">
        <f t="shared" si="17"/>
        <v>7.0368712859549733E-3</v>
      </c>
      <c r="U204" s="335">
        <f t="shared" si="18"/>
        <v>8.7735975340537432E-3</v>
      </c>
      <c r="V204" s="335">
        <f t="shared" si="19"/>
        <v>1.7367262480987699E-3</v>
      </c>
    </row>
    <row r="205" spans="1:22" x14ac:dyDescent="0.45">
      <c r="A205" s="293" t="s">
        <v>161</v>
      </c>
      <c r="B205" s="297" t="s">
        <v>1</v>
      </c>
      <c r="C205" s="293" t="str">
        <f t="shared" si="15"/>
        <v>PortugalManufacture of chemicals and chemical products (C20)</v>
      </c>
      <c r="D205" s="297" t="s">
        <v>958</v>
      </c>
      <c r="E205" s="298">
        <v>991.82922613999995</v>
      </c>
      <c r="F205" s="298">
        <v>935.35807507000004</v>
      </c>
      <c r="G205" s="302">
        <v>-5.6936365234743325E-2</v>
      </c>
      <c r="H205" s="303">
        <v>28005.710886920002</v>
      </c>
      <c r="I205" s="298">
        <v>996.72278302999996</v>
      </c>
      <c r="J205" s="298">
        <v>935.35807507000004</v>
      </c>
      <c r="K205" s="302">
        <v>-6.1566474655524117E-2</v>
      </c>
      <c r="L205" s="298">
        <v>825.10930916999996</v>
      </c>
      <c r="M205" s="298">
        <v>846.70252166</v>
      </c>
      <c r="N205" s="298">
        <v>856.67675577</v>
      </c>
      <c r="O205" s="306">
        <v>880.17357242000003</v>
      </c>
      <c r="P205" s="306" cm="1">
        <f t="array" ref="P205">INDEX($E$152:$E$676, MATCH($B205, $B$153:$B$676, 0) * MATCH("Brazil", $A$152:$A$676, 0))</f>
        <v>28997.54011306</v>
      </c>
      <c r="Q205" s="306">
        <f t="shared" si="16"/>
        <v>28005.710886920002</v>
      </c>
      <c r="R205" s="336">
        <f>INDEX('Base GDP'!$A$1:$E$76,MATCH(A205,'Base GDP'!$A$1:$A$76,0),4)</f>
        <v>215192.52938671</v>
      </c>
      <c r="S205" s="336">
        <f>INDEX('Base GDP'!$A$1:$E$76,MATCH(A205,'Base GDP'!$A$1:$A$76,0),5)</f>
        <v>232686.90641277001</v>
      </c>
      <c r="T205" s="335">
        <f t="shared" si="17"/>
        <v>4.6317722361023383E-3</v>
      </c>
      <c r="U205" s="335">
        <f t="shared" si="18"/>
        <v>4.0198139615588912E-3</v>
      </c>
      <c r="V205" s="335">
        <f t="shared" si="19"/>
        <v>-6.1195827454344712E-4</v>
      </c>
    </row>
    <row r="206" spans="1:22" x14ac:dyDescent="0.45">
      <c r="A206" s="293" t="s">
        <v>168</v>
      </c>
      <c r="B206" s="297" t="s">
        <v>1</v>
      </c>
      <c r="C206" s="293" t="str">
        <f t="shared" si="15"/>
        <v>TunisiaManufacture of chemicals and chemical products (C20)</v>
      </c>
      <c r="D206" s="297" t="s">
        <v>958</v>
      </c>
      <c r="E206" s="298">
        <v>846.91698799999995</v>
      </c>
      <c r="F206" s="298">
        <v>859.62347523000005</v>
      </c>
      <c r="G206" s="302">
        <v>1.500322630203299E-2</v>
      </c>
      <c r="H206" s="303">
        <v>28150.623125059999</v>
      </c>
      <c r="I206" s="298">
        <v>767.40782716000001</v>
      </c>
      <c r="J206" s="298">
        <v>859.62347523000005</v>
      </c>
      <c r="K206" s="302">
        <v>0.1201651127422938</v>
      </c>
      <c r="L206" s="298">
        <v>902.03670688</v>
      </c>
      <c r="M206" s="298">
        <v>990.88859088000004</v>
      </c>
      <c r="N206" s="298">
        <v>1061.7607398299999</v>
      </c>
      <c r="O206" s="306">
        <v>1239.40113393</v>
      </c>
      <c r="P206" s="306" cm="1">
        <f t="array" ref="P206">INDEX($E$152:$E$676, MATCH($B206, $B$153:$B$676, 0) * MATCH("Brazil", $A$152:$A$676, 0))</f>
        <v>28997.54011306</v>
      </c>
      <c r="Q206" s="306">
        <f t="shared" si="16"/>
        <v>28150.623125059999</v>
      </c>
      <c r="R206" s="336">
        <f>INDEX('Base GDP'!$A$1:$E$76,MATCH(A206,'Base GDP'!$A$1:$A$76,0),4)</f>
        <v>38884.65391288</v>
      </c>
      <c r="S206" s="336">
        <f>INDEX('Base GDP'!$A$1:$E$76,MATCH(A206,'Base GDP'!$A$1:$A$76,0),5)</f>
        <v>40072.692608359997</v>
      </c>
      <c r="T206" s="335">
        <f t="shared" si="17"/>
        <v>1.9735493310017782E-2</v>
      </c>
      <c r="U206" s="335">
        <f t="shared" si="18"/>
        <v>2.1451602557165442E-2</v>
      </c>
      <c r="V206" s="335">
        <f t="shared" si="19"/>
        <v>1.7161092471476604E-3</v>
      </c>
    </row>
    <row r="207" spans="1:22" x14ac:dyDescent="0.45">
      <c r="A207" s="293" t="s">
        <v>157</v>
      </c>
      <c r="B207" s="297" t="s">
        <v>1</v>
      </c>
      <c r="C207" s="293" t="str">
        <f t="shared" si="15"/>
        <v>SlovakiaManufacture of chemicals and chemical products (C20)</v>
      </c>
      <c r="D207" s="297" t="s">
        <v>958</v>
      </c>
      <c r="E207" s="298">
        <v>795.65210019999995</v>
      </c>
      <c r="F207" s="298">
        <v>762.73089918999995</v>
      </c>
      <c r="G207" s="302">
        <v>-4.1376376687404903E-2</v>
      </c>
      <c r="H207" s="303">
        <v>28201.888012859999</v>
      </c>
      <c r="I207" s="298">
        <v>671.01844461999997</v>
      </c>
      <c r="J207" s="298">
        <v>762.73089918999995</v>
      </c>
      <c r="K207" s="302">
        <v>0.13667650316518065</v>
      </c>
      <c r="L207" s="298">
        <v>705.54315649</v>
      </c>
      <c r="M207" s="298">
        <v>734.16643247000002</v>
      </c>
      <c r="N207" s="298">
        <v>755.88720283999999</v>
      </c>
      <c r="O207" s="306">
        <v>845.92338572999995</v>
      </c>
      <c r="P207" s="306" cm="1">
        <f t="array" ref="P207">INDEX($E$152:$E$676, MATCH($B207, $B$153:$B$676, 0) * MATCH("Brazil", $A$152:$A$676, 0))</f>
        <v>28997.54011306</v>
      </c>
      <c r="Q207" s="306">
        <f t="shared" si="16"/>
        <v>28201.888012859999</v>
      </c>
      <c r="R207" s="336">
        <f>INDEX('Base GDP'!$A$1:$E$76,MATCH(A207,'Base GDP'!$A$1:$A$76,0),4)</f>
        <v>94460.171576160006</v>
      </c>
      <c r="S207" s="336">
        <f>INDEX('Base GDP'!$A$1:$E$76,MATCH(A207,'Base GDP'!$A$1:$A$76,0),5)</f>
        <v>107076.6714533</v>
      </c>
      <c r="T207" s="335">
        <f t="shared" si="17"/>
        <v>7.1037182489021916E-3</v>
      </c>
      <c r="U207" s="335">
        <f t="shared" si="18"/>
        <v>7.1232219757844679E-3</v>
      </c>
      <c r="V207" s="335">
        <f t="shared" si="19"/>
        <v>1.95037268822763E-5</v>
      </c>
    </row>
    <row r="208" spans="1:22" x14ac:dyDescent="0.45">
      <c r="A208" s="293" t="s">
        <v>158</v>
      </c>
      <c r="B208" s="297" t="s">
        <v>1</v>
      </c>
      <c r="C208" s="293" t="str">
        <f t="shared" si="15"/>
        <v>GhanaManufacture of chemicals and chemical products (C20)</v>
      </c>
      <c r="D208" s="297" t="s">
        <v>958</v>
      </c>
      <c r="E208" s="298">
        <v>513.41351622000002</v>
      </c>
      <c r="F208" s="298">
        <v>703.23402035000004</v>
      </c>
      <c r="G208" s="302">
        <v>0.36972245204518739</v>
      </c>
      <c r="H208" s="303">
        <v>28484.12659684</v>
      </c>
      <c r="I208" s="298">
        <v>586.22089110000002</v>
      </c>
      <c r="J208" s="298">
        <v>703.23402035000004</v>
      </c>
      <c r="K208" s="302">
        <v>0.19960586704856853</v>
      </c>
      <c r="L208" s="298">
        <v>784.26040003000003</v>
      </c>
      <c r="M208" s="298">
        <v>895.41342191000001</v>
      </c>
      <c r="N208" s="298">
        <v>991.97243319999995</v>
      </c>
      <c r="O208" s="306">
        <v>1272.5474323999999</v>
      </c>
      <c r="P208" s="306" cm="1">
        <f t="array" ref="P208">INDEX($E$152:$E$676, MATCH($B208, $B$153:$B$676, 0) * MATCH("Brazil", $A$152:$A$676, 0))</f>
        <v>28997.54011306</v>
      </c>
      <c r="Q208" s="306">
        <f t="shared" si="16"/>
        <v>28484.12659684</v>
      </c>
      <c r="R208" s="336">
        <f>INDEX('Base GDP'!$A$1:$E$76,MATCH(A208,'Base GDP'!$A$1:$A$76,0),4)</f>
        <v>54050.698328470004</v>
      </c>
      <c r="S208" s="336">
        <f>INDEX('Base GDP'!$A$1:$E$76,MATCH(A208,'Base GDP'!$A$1:$A$76,0),5)</f>
        <v>72367.878986030002</v>
      </c>
      <c r="T208" s="335">
        <f t="shared" si="17"/>
        <v>1.0845759800132335E-2</v>
      </c>
      <c r="U208" s="335">
        <f t="shared" si="18"/>
        <v>9.717488341557631E-3</v>
      </c>
      <c r="V208" s="335">
        <f t="shared" si="19"/>
        <v>-1.1282714585747044E-3</v>
      </c>
    </row>
    <row r="209" spans="1:22" x14ac:dyDescent="0.45">
      <c r="A209" s="293" t="s">
        <v>163</v>
      </c>
      <c r="B209" s="297" t="s">
        <v>1</v>
      </c>
      <c r="C209" s="293" t="str">
        <f t="shared" si="15"/>
        <v>New ZealandManufacture of chemicals and chemical products (C20)</v>
      </c>
      <c r="D209" s="297" t="s">
        <v>958</v>
      </c>
      <c r="E209" s="298">
        <v>644.94417426999996</v>
      </c>
      <c r="F209" s="298">
        <v>650.16314680000005</v>
      </c>
      <c r="G209" s="302">
        <v>8.0921306652739222E-3</v>
      </c>
      <c r="H209" s="303">
        <v>28352.59593879</v>
      </c>
      <c r="I209" s="298">
        <v>698.21132795999995</v>
      </c>
      <c r="J209" s="298">
        <v>650.16314680000005</v>
      </c>
      <c r="K209" s="302">
        <v>-6.8816100850704776E-2</v>
      </c>
      <c r="L209" s="298">
        <v>536.26620181999999</v>
      </c>
      <c r="M209" s="298">
        <v>557.74056196000004</v>
      </c>
      <c r="N209" s="298">
        <v>575.24930128000005</v>
      </c>
      <c r="O209" s="306">
        <v>613.52505883000003</v>
      </c>
      <c r="P209" s="306" cm="1">
        <f t="array" ref="P209">INDEX($E$152:$E$676, MATCH($B209, $B$153:$B$676, 0) * MATCH("Brazil", $A$152:$A$676, 0))</f>
        <v>28997.54011306</v>
      </c>
      <c r="Q209" s="306">
        <f t="shared" si="16"/>
        <v>28352.59593879</v>
      </c>
      <c r="R209" s="336">
        <f>INDEX('Base GDP'!$A$1:$E$76,MATCH(A209,'Base GDP'!$A$1:$A$76,0),4)</f>
        <v>180884.85070677</v>
      </c>
      <c r="S209" s="336">
        <f>INDEX('Base GDP'!$A$1:$E$76,MATCH(A209,'Base GDP'!$A$1:$A$76,0),5)</f>
        <v>220909.49174857</v>
      </c>
      <c r="T209" s="335">
        <f t="shared" si="17"/>
        <v>3.8599768042038023E-3</v>
      </c>
      <c r="U209" s="335">
        <f t="shared" si="18"/>
        <v>2.94312001559439E-3</v>
      </c>
      <c r="V209" s="335">
        <f t="shared" si="19"/>
        <v>-9.1685678860941233E-4</v>
      </c>
    </row>
    <row r="210" spans="1:22" x14ac:dyDescent="0.45">
      <c r="A210" s="293" t="s">
        <v>124</v>
      </c>
      <c r="B210" s="297" t="s">
        <v>1</v>
      </c>
      <c r="C210" s="293" t="str">
        <f t="shared" si="15"/>
        <v>BangladeshManufacture of chemicals and chemical products (C20)</v>
      </c>
      <c r="D210" s="297" t="s">
        <v>958</v>
      </c>
      <c r="E210" s="298">
        <v>308.50366811999999</v>
      </c>
      <c r="F210" s="298">
        <v>643.67767030000005</v>
      </c>
      <c r="G210" s="302">
        <v>1.0864506222001418</v>
      </c>
      <c r="H210" s="303">
        <v>28689.03644494</v>
      </c>
      <c r="I210" s="298">
        <v>353.6966084</v>
      </c>
      <c r="J210" s="298">
        <v>643.67767030000005</v>
      </c>
      <c r="K210" s="302">
        <v>0.81985819205836652</v>
      </c>
      <c r="L210" s="298">
        <v>808.48120829000004</v>
      </c>
      <c r="M210" s="298">
        <v>1029.9307231</v>
      </c>
      <c r="N210" s="298">
        <v>1202.2090440300001</v>
      </c>
      <c r="O210" s="306">
        <v>1653.9267659100001</v>
      </c>
      <c r="P210" s="306" cm="1">
        <f t="array" ref="P210">INDEX($E$152:$E$676, MATCH($B210, $B$153:$B$676, 0) * MATCH("Brazil", $A$152:$A$676, 0))</f>
        <v>28997.54011306</v>
      </c>
      <c r="Q210" s="306">
        <f t="shared" si="16"/>
        <v>28689.03644494</v>
      </c>
      <c r="R210" s="336">
        <f>INDEX('Base GDP'!$A$1:$E$76,MATCH(A210,'Base GDP'!$A$1:$A$76,0),4)</f>
        <v>264392.25455249997</v>
      </c>
      <c r="S210" s="336">
        <f>INDEX('Base GDP'!$A$1:$E$76,MATCH(A210,'Base GDP'!$A$1:$A$76,0),5)</f>
        <v>386628.84638325998</v>
      </c>
      <c r="T210" s="335">
        <f t="shared" si="17"/>
        <v>1.3377722013780363E-3</v>
      </c>
      <c r="U210" s="335">
        <f t="shared" si="18"/>
        <v>1.6648464705138193E-3</v>
      </c>
      <c r="V210" s="335">
        <f t="shared" si="19"/>
        <v>3.27074269135783E-4</v>
      </c>
    </row>
    <row r="211" spans="1:22" x14ac:dyDescent="0.45">
      <c r="A211" s="293" t="s">
        <v>176</v>
      </c>
      <c r="B211" s="297" t="s">
        <v>1</v>
      </c>
      <c r="C211" s="293" t="str">
        <f t="shared" si="15"/>
        <v>JordanManufacture of chemicals and chemical products (C20)</v>
      </c>
      <c r="D211" s="297" t="s">
        <v>958</v>
      </c>
      <c r="E211" s="298">
        <v>540.40878298999996</v>
      </c>
      <c r="F211" s="298">
        <v>578.44878681</v>
      </c>
      <c r="G211" s="302">
        <v>7.0391165016842283E-2</v>
      </c>
      <c r="H211" s="303">
        <v>28457.131330069999</v>
      </c>
      <c r="I211" s="298">
        <v>497.70744245999998</v>
      </c>
      <c r="J211" s="298">
        <v>578.44878681</v>
      </c>
      <c r="K211" s="302">
        <v>0.16222651594463366</v>
      </c>
      <c r="L211" s="298">
        <v>632.61967827000001</v>
      </c>
      <c r="M211" s="298">
        <v>686.38403653</v>
      </c>
      <c r="N211" s="298">
        <v>727.54850125999997</v>
      </c>
      <c r="O211" s="306">
        <v>824.15489219000006</v>
      </c>
      <c r="P211" s="306" cm="1">
        <f t="array" ref="P211">INDEX($E$152:$E$676, MATCH($B211, $B$153:$B$676, 0) * MATCH("Brazil", $A$152:$A$676, 0))</f>
        <v>28997.54011306</v>
      </c>
      <c r="Q211" s="306">
        <f t="shared" si="16"/>
        <v>28457.131330069999</v>
      </c>
      <c r="R211" s="336">
        <f>INDEX('Base GDP'!$A$1:$E$76,MATCH(A211,'Base GDP'!$A$1:$A$76,0),4)</f>
        <v>41181.394892199998</v>
      </c>
      <c r="S211" s="336">
        <f>INDEX('Base GDP'!$A$1:$E$76,MATCH(A211,'Base GDP'!$A$1:$A$76,0),5)</f>
        <v>44841.419332370002</v>
      </c>
      <c r="T211" s="335">
        <f t="shared" si="17"/>
        <v>1.2085735409469308E-2</v>
      </c>
      <c r="U211" s="335">
        <f t="shared" si="18"/>
        <v>1.2899876842043467E-2</v>
      </c>
      <c r="V211" s="335">
        <f t="shared" si="19"/>
        <v>8.1414143257415965E-4</v>
      </c>
    </row>
    <row r="212" spans="1:22" x14ac:dyDescent="0.45">
      <c r="A212" s="293" t="s">
        <v>175</v>
      </c>
      <c r="B212" s="297" t="s">
        <v>1</v>
      </c>
      <c r="C212" s="293" t="str">
        <f t="shared" si="15"/>
        <v>KenyaManufacture of chemicals and chemical products (C20)</v>
      </c>
      <c r="D212" s="297" t="s">
        <v>958</v>
      </c>
      <c r="E212" s="298">
        <v>472.06072377999999</v>
      </c>
      <c r="F212" s="298">
        <v>542.05896006</v>
      </c>
      <c r="G212" s="302">
        <v>0.14828227122877968</v>
      </c>
      <c r="H212" s="303">
        <v>28525.479389280001</v>
      </c>
      <c r="I212" s="298">
        <v>462.03593631000001</v>
      </c>
      <c r="J212" s="298">
        <v>542.05896006</v>
      </c>
      <c r="K212" s="302">
        <v>0.17319653615927622</v>
      </c>
      <c r="L212" s="298">
        <v>641.71703198</v>
      </c>
      <c r="M212" s="298">
        <v>785.09328260999996</v>
      </c>
      <c r="N212" s="298">
        <v>912.35999506999997</v>
      </c>
      <c r="O212" s="306">
        <v>1276.0947383600001</v>
      </c>
      <c r="P212" s="306" cm="1">
        <f t="array" ref="P212">INDEX($E$152:$E$676, MATCH($B212, $B$153:$B$676, 0) * MATCH("Brazil", $A$152:$A$676, 0))</f>
        <v>28997.54011306</v>
      </c>
      <c r="Q212" s="306">
        <f t="shared" si="16"/>
        <v>28525.479389280001</v>
      </c>
      <c r="R212" s="336">
        <f>INDEX('Base GDP'!$A$1:$E$76,MATCH(A212,'Base GDP'!$A$1:$A$76,0),4)</f>
        <v>83525.195225389994</v>
      </c>
      <c r="S212" s="336">
        <f>INDEX('Base GDP'!$A$1:$E$76,MATCH(A212,'Base GDP'!$A$1:$A$76,0),5)</f>
        <v>107697.99713524</v>
      </c>
      <c r="T212" s="335">
        <f t="shared" si="17"/>
        <v>5.5316953772237372E-3</v>
      </c>
      <c r="U212" s="335">
        <f t="shared" si="18"/>
        <v>5.0331387256841772E-3</v>
      </c>
      <c r="V212" s="335">
        <f t="shared" si="19"/>
        <v>-4.9855665153955998E-4</v>
      </c>
    </row>
    <row r="213" spans="1:22" x14ac:dyDescent="0.45">
      <c r="A213" s="293" t="s">
        <v>174</v>
      </c>
      <c r="B213" s="297" t="s">
        <v>1</v>
      </c>
      <c r="C213" s="293" t="str">
        <f t="shared" si="15"/>
        <v>Sri LankaManufacture of chemicals and chemical products (C20)</v>
      </c>
      <c r="D213" s="297" t="s">
        <v>958</v>
      </c>
      <c r="E213" s="298">
        <v>422.63741597000001</v>
      </c>
      <c r="F213" s="298">
        <v>531.07329656000002</v>
      </c>
      <c r="G213" s="302">
        <v>0.25656952388166476</v>
      </c>
      <c r="H213" s="303">
        <v>28574.902697090001</v>
      </c>
      <c r="I213" s="298">
        <v>471.69663319</v>
      </c>
      <c r="J213" s="298">
        <v>531.07329656000002</v>
      </c>
      <c r="K213" s="302">
        <v>0.12587892130678613</v>
      </c>
      <c r="L213" s="298">
        <v>536.41228133000004</v>
      </c>
      <c r="M213" s="298">
        <v>625.09750093000002</v>
      </c>
      <c r="N213" s="298">
        <v>700.01651934999995</v>
      </c>
      <c r="O213" s="306">
        <v>893.85367334</v>
      </c>
      <c r="P213" s="306" cm="1">
        <f t="array" ref="P213">INDEX($E$152:$E$676, MATCH($B213, $B$153:$B$676, 0) * MATCH("Brazil", $A$152:$A$676, 0))</f>
        <v>28997.54011306</v>
      </c>
      <c r="Q213" s="306">
        <f t="shared" si="16"/>
        <v>28574.902697090001</v>
      </c>
      <c r="R213" s="336">
        <f>INDEX('Base GDP'!$A$1:$E$76,MATCH(A213,'Base GDP'!$A$1:$A$76,0),4)</f>
        <v>77969.257644440004</v>
      </c>
      <c r="S213" s="336">
        <f>INDEX('Base GDP'!$A$1:$E$76,MATCH(A213,'Base GDP'!$A$1:$A$76,0),5)</f>
        <v>87884.425158479993</v>
      </c>
      <c r="T213" s="335">
        <f t="shared" si="17"/>
        <v>6.0497771485918048E-3</v>
      </c>
      <c r="U213" s="335">
        <f t="shared" si="18"/>
        <v>6.0428602178637181E-3</v>
      </c>
      <c r="V213" s="335">
        <f t="shared" si="19"/>
        <v>-6.9169307280866552E-6</v>
      </c>
    </row>
    <row r="214" spans="1:22" x14ac:dyDescent="0.45">
      <c r="A214" s="293" t="s">
        <v>167</v>
      </c>
      <c r="B214" s="297" t="s">
        <v>1</v>
      </c>
      <c r="C214" s="293" t="str">
        <f t="shared" si="15"/>
        <v>Hong Kong SARManufacture of chemicals and chemical products (C20)</v>
      </c>
      <c r="D214" s="297" t="s">
        <v>958</v>
      </c>
      <c r="E214" s="298">
        <v>609.68046067</v>
      </c>
      <c r="F214" s="298">
        <v>528.50054594000005</v>
      </c>
      <c r="G214" s="302">
        <v>-0.13315157687813772</v>
      </c>
      <c r="H214" s="303">
        <v>28387.859652390001</v>
      </c>
      <c r="I214" s="298">
        <v>518.48991470999999</v>
      </c>
      <c r="J214" s="298">
        <v>528.50054594000005</v>
      </c>
      <c r="K214" s="302">
        <v>1.9307282448491225E-2</v>
      </c>
      <c r="L214" s="298">
        <v>601.36809131999996</v>
      </c>
      <c r="M214" s="298">
        <v>594.48056191000001</v>
      </c>
      <c r="N214" s="298">
        <v>586.41312297000002</v>
      </c>
      <c r="O214" s="306">
        <v>579.82996452999998</v>
      </c>
      <c r="P214" s="306" cm="1">
        <f t="array" ref="P214">INDEX($E$152:$E$676, MATCH($B214, $B$153:$B$676, 0) * MATCH("Brazil", $A$152:$A$676, 0))</f>
        <v>28997.54011306</v>
      </c>
      <c r="Q214" s="306">
        <f t="shared" si="16"/>
        <v>28387.859652390001</v>
      </c>
      <c r="R214" s="336">
        <f>INDEX('Base GDP'!$A$1:$E$76,MATCH(A214,'Base GDP'!$A$1:$A$76,0),4)</f>
        <v>338559.97086627001</v>
      </c>
      <c r="S214" s="336">
        <f>INDEX('Base GDP'!$A$1:$E$76,MATCH(A214,'Base GDP'!$A$1:$A$76,0),5)</f>
        <v>361197.76240428002</v>
      </c>
      <c r="T214" s="335">
        <f t="shared" si="17"/>
        <v>1.5314566378988781E-3</v>
      </c>
      <c r="U214" s="335">
        <f t="shared" si="18"/>
        <v>1.4631888703354203E-3</v>
      </c>
      <c r="V214" s="335">
        <f t="shared" si="19"/>
        <v>-6.8267767563457782E-5</v>
      </c>
    </row>
    <row r="215" spans="1:22" x14ac:dyDescent="0.45">
      <c r="A215" s="293" t="s">
        <v>162</v>
      </c>
      <c r="B215" s="297" t="s">
        <v>1</v>
      </c>
      <c r="C215" s="293" t="str">
        <f t="shared" si="15"/>
        <v>RomaniaManufacture of chemicals and chemical products (C20)</v>
      </c>
      <c r="D215" s="297" t="s">
        <v>958</v>
      </c>
      <c r="E215" s="298">
        <v>429.08024589000001</v>
      </c>
      <c r="F215" s="298">
        <v>497.24363391999998</v>
      </c>
      <c r="G215" s="302">
        <v>0.15885930122141878</v>
      </c>
      <c r="H215" s="303">
        <v>28568.459867170001</v>
      </c>
      <c r="I215" s="298">
        <v>466.67698445000002</v>
      </c>
      <c r="J215" s="298">
        <v>497.24363391999998</v>
      </c>
      <c r="K215" s="302">
        <v>6.5498515008242997E-2</v>
      </c>
      <c r="L215" s="298">
        <v>474.75147944999998</v>
      </c>
      <c r="M215" s="298">
        <v>516.08314214999996</v>
      </c>
      <c r="N215" s="298">
        <v>546.37604038999996</v>
      </c>
      <c r="O215" s="306">
        <v>604.08130476999997</v>
      </c>
      <c r="P215" s="306" cm="1">
        <f t="array" ref="P215">INDEX($E$152:$E$676, MATCH($B215, $B$153:$B$676, 0) * MATCH("Brazil", $A$152:$A$676, 0))</f>
        <v>28997.54011306</v>
      </c>
      <c r="Q215" s="306">
        <f t="shared" si="16"/>
        <v>28568.459867170001</v>
      </c>
      <c r="R215" s="336">
        <f>INDEX('Base GDP'!$A$1:$E$76,MATCH(A215,'Base GDP'!$A$1:$A$76,0),4)</f>
        <v>204518.17392167001</v>
      </c>
      <c r="S215" s="336">
        <f>INDEX('Base GDP'!$A$1:$E$76,MATCH(A215,'Base GDP'!$A$1:$A$76,0),5)</f>
        <v>254974.25152873</v>
      </c>
      <c r="T215" s="335">
        <f t="shared" si="17"/>
        <v>2.2818362569027055E-3</v>
      </c>
      <c r="U215" s="335">
        <f t="shared" si="18"/>
        <v>1.9501719524176015E-3</v>
      </c>
      <c r="V215" s="335">
        <f t="shared" si="19"/>
        <v>-3.3166430448510397E-4</v>
      </c>
    </row>
    <row r="216" spans="1:22" x14ac:dyDescent="0.45">
      <c r="A216" s="293" t="s">
        <v>160</v>
      </c>
      <c r="B216" s="297" t="s">
        <v>1</v>
      </c>
      <c r="C216" s="293" t="str">
        <f t="shared" si="15"/>
        <v>BulgariaManufacture of chemicals and chemical products (C20)</v>
      </c>
      <c r="D216" s="297" t="s">
        <v>958</v>
      </c>
      <c r="E216" s="298">
        <v>428.48834068000002</v>
      </c>
      <c r="F216" s="298">
        <v>486.05174965999998</v>
      </c>
      <c r="G216" s="302">
        <v>0.13434066581286275</v>
      </c>
      <c r="H216" s="303">
        <v>28569.05177238</v>
      </c>
      <c r="I216" s="298">
        <v>414.00092422</v>
      </c>
      <c r="J216" s="298">
        <v>486.05174965999998</v>
      </c>
      <c r="K216" s="302">
        <v>0.17403542172218001</v>
      </c>
      <c r="L216" s="298">
        <v>455.24237177999998</v>
      </c>
      <c r="M216" s="298">
        <v>468.15919923000001</v>
      </c>
      <c r="N216" s="298">
        <v>471.72919924000001</v>
      </c>
      <c r="O216" s="306">
        <v>475.39818430000003</v>
      </c>
      <c r="P216" s="306" cm="1">
        <f t="array" ref="P216">INDEX($E$152:$E$676, MATCH($B216, $B$153:$B$676, 0) * MATCH("Brazil", $A$152:$A$676, 0))</f>
        <v>28997.54011306</v>
      </c>
      <c r="Q216" s="306">
        <f t="shared" si="16"/>
        <v>28569.05177238</v>
      </c>
      <c r="R216" s="336">
        <f>INDEX('Base GDP'!$A$1:$E$76,MATCH(A216,'Base GDP'!$A$1:$A$76,0),4)</f>
        <v>60854.013563</v>
      </c>
      <c r="S216" s="336">
        <f>INDEX('Base GDP'!$A$1:$E$76,MATCH(A216,'Base GDP'!$A$1:$A$76,0),5)</f>
        <v>70836.911882080007</v>
      </c>
      <c r="T216" s="335">
        <f t="shared" si="17"/>
        <v>6.8031819099556934E-3</v>
      </c>
      <c r="U216" s="335">
        <f t="shared" si="18"/>
        <v>6.8615604032699106E-3</v>
      </c>
      <c r="V216" s="335">
        <f t="shared" si="19"/>
        <v>5.8378493314217156E-5</v>
      </c>
    </row>
    <row r="217" spans="1:22" x14ac:dyDescent="0.45">
      <c r="A217" s="293" t="s">
        <v>165</v>
      </c>
      <c r="B217" s="297" t="s">
        <v>1</v>
      </c>
      <c r="C217" s="293" t="str">
        <f t="shared" si="15"/>
        <v>EcuadorManufacture of chemicals and chemical products (C20)</v>
      </c>
      <c r="D217" s="297" t="s">
        <v>958</v>
      </c>
      <c r="E217" s="298">
        <v>404.91729135000003</v>
      </c>
      <c r="F217" s="298">
        <v>432.72758013999999</v>
      </c>
      <c r="G217" s="302">
        <v>6.8681405768768355E-2</v>
      </c>
      <c r="H217" s="303">
        <v>28592.62282171</v>
      </c>
      <c r="I217" s="298">
        <v>508.91422410000001</v>
      </c>
      <c r="J217" s="298">
        <v>432.72758013999999</v>
      </c>
      <c r="K217" s="302">
        <v>-0.1497042926924157</v>
      </c>
      <c r="L217" s="298">
        <v>511.15094217000001</v>
      </c>
      <c r="M217" s="298">
        <v>574.07847805999995</v>
      </c>
      <c r="N217" s="298">
        <v>622.60691285999997</v>
      </c>
      <c r="O217" s="306">
        <v>746.88235408000003</v>
      </c>
      <c r="P217" s="306" cm="1">
        <f t="array" ref="P217">INDEX($E$152:$E$676, MATCH($B217, $B$153:$B$676, 0) * MATCH("Brazil", $A$152:$A$676, 0))</f>
        <v>28997.54011306</v>
      </c>
      <c r="Q217" s="306">
        <f t="shared" si="16"/>
        <v>28592.62282171</v>
      </c>
      <c r="R217" s="336">
        <f>INDEX('Base GDP'!$A$1:$E$76,MATCH(A217,'Base GDP'!$A$1:$A$76,0),4)</f>
        <v>105544.34131757999</v>
      </c>
      <c r="S217" s="336">
        <f>INDEX('Base GDP'!$A$1:$E$76,MATCH(A217,'Base GDP'!$A$1:$A$76,0),5)</f>
        <v>103911.06087433999</v>
      </c>
      <c r="T217" s="335">
        <f t="shared" si="17"/>
        <v>4.8218049186425941E-3</v>
      </c>
      <c r="U217" s="335">
        <f t="shared" si="18"/>
        <v>4.164403447514591E-3</v>
      </c>
      <c r="V217" s="335">
        <f t="shared" si="19"/>
        <v>-6.574014711280031E-4</v>
      </c>
    </row>
    <row r="218" spans="1:22" x14ac:dyDescent="0.45">
      <c r="A218" s="293" t="s">
        <v>169</v>
      </c>
      <c r="B218" s="297" t="s">
        <v>1</v>
      </c>
      <c r="C218" s="293" t="str">
        <f t="shared" si="15"/>
        <v>Costa RicaManufacture of chemicals and chemical products (C20)</v>
      </c>
      <c r="D218" s="297" t="s">
        <v>958</v>
      </c>
      <c r="E218" s="298">
        <v>327.61890704000001</v>
      </c>
      <c r="F218" s="298">
        <v>417.24640840000001</v>
      </c>
      <c r="G218" s="302">
        <v>0.27357243258569652</v>
      </c>
      <c r="H218" s="303">
        <v>28669.921206020001</v>
      </c>
      <c r="I218" s="298">
        <v>366.42191739999998</v>
      </c>
      <c r="J218" s="298">
        <v>417.24640840000001</v>
      </c>
      <c r="K218" s="302">
        <v>0.13870483338069017</v>
      </c>
      <c r="L218" s="298">
        <v>492.29486562</v>
      </c>
      <c r="M218" s="298">
        <v>538.41655446000004</v>
      </c>
      <c r="N218" s="298">
        <v>574.92594925000003</v>
      </c>
      <c r="O218" s="306">
        <v>671.10243765999996</v>
      </c>
      <c r="P218" s="306" cm="1">
        <f t="array" ref="P218">INDEX($E$152:$E$676, MATCH($B218, $B$153:$B$676, 0) * MATCH("Brazil", $A$152:$A$676, 0))</f>
        <v>28997.54011306</v>
      </c>
      <c r="Q218" s="306">
        <f t="shared" si="16"/>
        <v>28669.921206020001</v>
      </c>
      <c r="R218" s="336">
        <f>INDEX('Base GDP'!$A$1:$E$76,MATCH(A218,'Base GDP'!$A$1:$A$76,0),4)</f>
        <v>56790.776904650003</v>
      </c>
      <c r="S218" s="336">
        <f>INDEX('Base GDP'!$A$1:$E$76,MATCH(A218,'Base GDP'!$A$1:$A$76,0),5)</f>
        <v>66933.267445050005</v>
      </c>
      <c r="T218" s="335">
        <f t="shared" si="17"/>
        <v>6.4521377831335408E-3</v>
      </c>
      <c r="U218" s="335">
        <f t="shared" si="18"/>
        <v>6.2337672181108665E-3</v>
      </c>
      <c r="V218" s="335">
        <f t="shared" si="19"/>
        <v>-2.1837056502267433E-4</v>
      </c>
    </row>
    <row r="219" spans="1:22" x14ac:dyDescent="0.45">
      <c r="A219" s="293" t="s">
        <v>172</v>
      </c>
      <c r="B219" s="297" t="s">
        <v>1</v>
      </c>
      <c r="C219" s="293" t="str">
        <f t="shared" si="15"/>
        <v>UruguayManufacture of chemicals and chemical products (C20)</v>
      </c>
      <c r="D219" s="297" t="s">
        <v>958</v>
      </c>
      <c r="E219" s="298">
        <v>255.10695455999999</v>
      </c>
      <c r="F219" s="298">
        <v>397.42126954999998</v>
      </c>
      <c r="G219" s="302">
        <v>0.55786136930472541</v>
      </c>
      <c r="H219" s="303">
        <v>28742.4331585</v>
      </c>
      <c r="I219" s="298">
        <v>364.15505723000001</v>
      </c>
      <c r="J219" s="298">
        <v>397.42126954999998</v>
      </c>
      <c r="K219" s="302">
        <v>9.1351779027989854E-2</v>
      </c>
      <c r="L219" s="298">
        <v>407.34708519999998</v>
      </c>
      <c r="M219" s="298">
        <v>451.78554831000002</v>
      </c>
      <c r="N219" s="298">
        <v>484.97799036999999</v>
      </c>
      <c r="O219" s="306">
        <v>560.50846589000002</v>
      </c>
      <c r="P219" s="306" cm="1">
        <f t="array" ref="P219">INDEX($E$152:$E$676, MATCH($B219, $B$153:$B$676, 0) * MATCH("Brazil", $A$152:$A$676, 0))</f>
        <v>28997.54011306</v>
      </c>
      <c r="Q219" s="306">
        <f t="shared" si="16"/>
        <v>28742.4331585</v>
      </c>
      <c r="R219" s="336">
        <f>INDEX('Base GDP'!$A$1:$E$76,MATCH(A219,'Base GDP'!$A$1:$A$76,0),4)</f>
        <v>59449.563607900003</v>
      </c>
      <c r="S219" s="336">
        <f>INDEX('Base GDP'!$A$1:$E$76,MATCH(A219,'Base GDP'!$A$1:$A$76,0),5)</f>
        <v>61243.536031950003</v>
      </c>
      <c r="T219" s="335">
        <f t="shared" si="17"/>
        <v>6.1254454217996813E-3</v>
      </c>
      <c r="U219" s="335">
        <f t="shared" si="18"/>
        <v>6.4891953551256439E-3</v>
      </c>
      <c r="V219" s="335">
        <f t="shared" si="19"/>
        <v>3.6374993332596254E-4</v>
      </c>
    </row>
    <row r="220" spans="1:22" x14ac:dyDescent="0.45">
      <c r="A220" s="293" t="s">
        <v>148</v>
      </c>
      <c r="B220" s="297" t="s">
        <v>1</v>
      </c>
      <c r="C220" s="293" t="str">
        <f t="shared" si="15"/>
        <v>BahrainManufacture of chemicals and chemical products (C20)</v>
      </c>
      <c r="D220" s="297" t="s">
        <v>958</v>
      </c>
      <c r="E220" s="298">
        <v>239.53698047</v>
      </c>
      <c r="F220" s="298">
        <v>282.78193317</v>
      </c>
      <c r="G220" s="302">
        <v>0.18053560087109832</v>
      </c>
      <c r="H220" s="303">
        <v>28758.003132590002</v>
      </c>
      <c r="I220" s="298">
        <v>250.75266342</v>
      </c>
      <c r="J220" s="298">
        <v>282.78193317</v>
      </c>
      <c r="K220" s="302">
        <v>0.12773252061674945</v>
      </c>
      <c r="L220" s="298">
        <v>300.68777145000001</v>
      </c>
      <c r="M220" s="298">
        <v>316.60162081999999</v>
      </c>
      <c r="N220" s="298">
        <v>330.34138252000002</v>
      </c>
      <c r="O220" s="306">
        <v>359.19061297000002</v>
      </c>
      <c r="P220" s="306" cm="1">
        <f t="array" ref="P220">INDEX($E$152:$E$676, MATCH($B220, $B$153:$B$676, 0) * MATCH("Brazil", $A$152:$A$676, 0))</f>
        <v>28997.54011306</v>
      </c>
      <c r="Q220" s="306">
        <f t="shared" si="16"/>
        <v>28758.003132590002</v>
      </c>
      <c r="R220" s="336">
        <f>INDEX('Base GDP'!$A$1:$E$76,MATCH(A220,'Base GDP'!$A$1:$A$76,0),4)</f>
        <v>33332.328188890002</v>
      </c>
      <c r="S220" s="336">
        <f>INDEX('Base GDP'!$A$1:$E$76,MATCH(A220,'Base GDP'!$A$1:$A$76,0),5)</f>
        <v>36767.801730239997</v>
      </c>
      <c r="T220" s="335">
        <f t="shared" si="17"/>
        <v>7.5228067478220247E-3</v>
      </c>
      <c r="U220" s="335">
        <f t="shared" si="18"/>
        <v>7.69102094394247E-3</v>
      </c>
      <c r="V220" s="335">
        <f t="shared" si="19"/>
        <v>1.6821419612044527E-4</v>
      </c>
    </row>
    <row r="221" spans="1:22" x14ac:dyDescent="0.45">
      <c r="A221" s="293" t="s">
        <v>166</v>
      </c>
      <c r="B221" s="297" t="s">
        <v>1</v>
      </c>
      <c r="C221" s="293" t="str">
        <f t="shared" si="15"/>
        <v>HondurasManufacture of chemicals and chemical products (C20)</v>
      </c>
      <c r="D221" s="297" t="s">
        <v>958</v>
      </c>
      <c r="E221" s="298">
        <v>176.34488611</v>
      </c>
      <c r="F221" s="298">
        <v>246.97025292000001</v>
      </c>
      <c r="G221" s="302">
        <v>0.40049568982649975</v>
      </c>
      <c r="H221" s="303">
        <v>28821.19522695</v>
      </c>
      <c r="I221" s="298">
        <v>226.06316742999999</v>
      </c>
      <c r="J221" s="298">
        <v>246.97025292000001</v>
      </c>
      <c r="K221" s="302">
        <v>9.2483378551589279E-2</v>
      </c>
      <c r="L221" s="298">
        <v>277.83087993999999</v>
      </c>
      <c r="M221" s="298">
        <v>315.58693241999998</v>
      </c>
      <c r="N221" s="298">
        <v>347.32543554</v>
      </c>
      <c r="O221" s="306">
        <v>432.49342917000001</v>
      </c>
      <c r="P221" s="306" cm="1">
        <f t="array" ref="P221">INDEX($E$152:$E$676, MATCH($B221, $B$153:$B$676, 0) * MATCH("Brazil", $A$152:$A$676, 0))</f>
        <v>28997.54011306</v>
      </c>
      <c r="Q221" s="306">
        <f t="shared" si="16"/>
        <v>28821.19522695</v>
      </c>
      <c r="R221" s="336">
        <f>INDEX('Base GDP'!$A$1:$E$76,MATCH(A221,'Base GDP'!$A$1:$A$76,0),4)</f>
        <v>21608.112082880001</v>
      </c>
      <c r="S221" s="336">
        <f>INDEX('Base GDP'!$A$1:$E$76,MATCH(A221,'Base GDP'!$A$1:$A$76,0),5)</f>
        <v>25703.55773198</v>
      </c>
      <c r="T221" s="335">
        <f t="shared" si="17"/>
        <v>1.0461958294316176E-2</v>
      </c>
      <c r="U221" s="335">
        <f t="shared" si="18"/>
        <v>9.6084073455995987E-3</v>
      </c>
      <c r="V221" s="335">
        <f t="shared" si="19"/>
        <v>-8.5355094871657732E-4</v>
      </c>
    </row>
    <row r="222" spans="1:22" x14ac:dyDescent="0.45">
      <c r="A222" s="293" t="s">
        <v>177</v>
      </c>
      <c r="B222" s="297" t="s">
        <v>1</v>
      </c>
      <c r="C222" s="293" t="str">
        <f t="shared" si="15"/>
        <v>BoliviaManufacture of chemicals and chemical products (C20)</v>
      </c>
      <c r="D222" s="297" t="s">
        <v>958</v>
      </c>
      <c r="E222" s="298">
        <v>116.53438946999999</v>
      </c>
      <c r="F222" s="298">
        <v>182.42929985999999</v>
      </c>
      <c r="G222" s="302">
        <v>0.56545463265986085</v>
      </c>
      <c r="H222" s="303">
        <v>28881.005723589999</v>
      </c>
      <c r="I222" s="298">
        <v>140.16333298000001</v>
      </c>
      <c r="J222" s="298">
        <v>182.42929985999999</v>
      </c>
      <c r="K222" s="302">
        <v>0.30154795823834291</v>
      </c>
      <c r="L222" s="298">
        <v>233.73628911</v>
      </c>
      <c r="M222" s="298">
        <v>268.83111191</v>
      </c>
      <c r="N222" s="298">
        <v>295.85795533999999</v>
      </c>
      <c r="O222" s="306">
        <v>362.31148150000001</v>
      </c>
      <c r="P222" s="306" cm="1">
        <f t="array" ref="P222">INDEX($E$152:$E$676, MATCH($B222, $B$153:$B$676, 0) * MATCH("Brazil", $A$152:$A$676, 0))</f>
        <v>28997.54011306</v>
      </c>
      <c r="Q222" s="306">
        <f t="shared" si="16"/>
        <v>28881.005723589999</v>
      </c>
      <c r="R222" s="336">
        <f>INDEX('Base GDP'!$A$1:$E$76,MATCH(A222,'Base GDP'!$A$1:$A$76,0),4)</f>
        <v>35334.894672080001</v>
      </c>
      <c r="S222" s="336">
        <f>INDEX('Base GDP'!$A$1:$E$76,MATCH(A222,'Base GDP'!$A$1:$A$76,0),5)</f>
        <v>39600.741188879998</v>
      </c>
      <c r="T222" s="335">
        <f t="shared" si="17"/>
        <v>3.9667114981030522E-3</v>
      </c>
      <c r="U222" s="335">
        <f t="shared" si="18"/>
        <v>4.6067142781465583E-3</v>
      </c>
      <c r="V222" s="335">
        <f t="shared" si="19"/>
        <v>6.4000278004350611E-4</v>
      </c>
    </row>
    <row r="223" spans="1:22" x14ac:dyDescent="0.45">
      <c r="A223" s="293" t="s">
        <v>171</v>
      </c>
      <c r="B223" s="297" t="s">
        <v>1</v>
      </c>
      <c r="C223" s="293" t="str">
        <f t="shared" si="15"/>
        <v>CameroonManufacture of chemicals and chemical products (C20)</v>
      </c>
      <c r="D223" s="297" t="s">
        <v>958</v>
      </c>
      <c r="E223" s="298">
        <v>111.49825643</v>
      </c>
      <c r="F223" s="298">
        <v>181.49335517</v>
      </c>
      <c r="G223" s="302">
        <v>0.62776854976152752</v>
      </c>
      <c r="H223" s="303">
        <v>28886.04185663</v>
      </c>
      <c r="I223" s="298">
        <v>141.80838449999999</v>
      </c>
      <c r="J223" s="298">
        <v>181.49335517</v>
      </c>
      <c r="K223" s="302">
        <v>0.27984925440004593</v>
      </c>
      <c r="L223" s="298">
        <v>237.23650591000001</v>
      </c>
      <c r="M223" s="298">
        <v>283.22376272000002</v>
      </c>
      <c r="N223" s="298">
        <v>313.54755891999997</v>
      </c>
      <c r="O223" s="306">
        <v>391.31346344000002</v>
      </c>
      <c r="P223" s="306" cm="1">
        <f t="array" ref="P223">INDEX($E$152:$E$676, MATCH($B223, $B$153:$B$676, 0) * MATCH("Brazil", $A$152:$A$676, 0))</f>
        <v>28997.54011306</v>
      </c>
      <c r="Q223" s="306">
        <f t="shared" si="16"/>
        <v>28886.04185663</v>
      </c>
      <c r="R223" s="336">
        <f>INDEX('Base GDP'!$A$1:$E$76,MATCH(A223,'Base GDP'!$A$1:$A$76,0),4)</f>
        <v>34069.891642009999</v>
      </c>
      <c r="S223" s="336">
        <f>INDEX('Base GDP'!$A$1:$E$76,MATCH(A223,'Base GDP'!$A$1:$A$76,0),5)</f>
        <v>41316.84413338</v>
      </c>
      <c r="T223" s="335">
        <f t="shared" si="17"/>
        <v>4.1622787060802587E-3</v>
      </c>
      <c r="U223" s="335">
        <f t="shared" si="18"/>
        <v>4.3927206682121923E-3</v>
      </c>
      <c r="V223" s="335">
        <f t="shared" si="19"/>
        <v>2.3044196213193365E-4</v>
      </c>
    </row>
    <row r="224" spans="1:22" x14ac:dyDescent="0.45">
      <c r="A224" s="293" t="s">
        <v>178</v>
      </c>
      <c r="B224" s="297" t="s">
        <v>1</v>
      </c>
      <c r="C224" s="293" t="str">
        <f t="shared" si="15"/>
        <v>SenegalManufacture of chemicals and chemical products (C20)</v>
      </c>
      <c r="D224" s="297" t="s">
        <v>958</v>
      </c>
      <c r="E224" s="298">
        <v>114.95056094</v>
      </c>
      <c r="F224" s="298">
        <v>173.98316983000001</v>
      </c>
      <c r="G224" s="302">
        <v>0.51354781053058862</v>
      </c>
      <c r="H224" s="303">
        <v>28882.58955212</v>
      </c>
      <c r="I224" s="298">
        <v>127.52850709000001</v>
      </c>
      <c r="J224" s="298">
        <v>173.98316983000001</v>
      </c>
      <c r="K224" s="302">
        <v>0.36426885094181971</v>
      </c>
      <c r="L224" s="298">
        <v>213.63503659</v>
      </c>
      <c r="M224" s="298">
        <v>247.03306978000001</v>
      </c>
      <c r="N224" s="298">
        <v>274.86254805999999</v>
      </c>
      <c r="O224" s="306">
        <v>352.36766461000002</v>
      </c>
      <c r="P224" s="306" cm="1">
        <f t="array" ref="P224">INDEX($E$152:$E$676, MATCH($B224, $B$153:$B$676, 0) * MATCH("Brazil", $A$152:$A$676, 0))</f>
        <v>28997.54011306</v>
      </c>
      <c r="Q224" s="306">
        <f t="shared" si="16"/>
        <v>28882.58955212</v>
      </c>
      <c r="R224" s="336">
        <f>INDEX('Base GDP'!$A$1:$E$76,MATCH(A224,'Base GDP'!$A$1:$A$76,0),4)</f>
        <v>18437.455260710001</v>
      </c>
      <c r="S224" s="336">
        <f>INDEX('Base GDP'!$A$1:$E$76,MATCH(A224,'Base GDP'!$A$1:$A$76,0),5)</f>
        <v>25150.80803964</v>
      </c>
      <c r="T224" s="335">
        <f t="shared" si="17"/>
        <v>6.9168171684604301E-3</v>
      </c>
      <c r="U224" s="335">
        <f t="shared" si="18"/>
        <v>6.9175976197578398E-3</v>
      </c>
      <c r="V224" s="335">
        <f t="shared" si="19"/>
        <v>7.8045129740973718E-7</v>
      </c>
    </row>
    <row r="225" spans="1:22" x14ac:dyDescent="0.45">
      <c r="A225" s="293" t="s">
        <v>173</v>
      </c>
      <c r="B225" s="297" t="s">
        <v>1</v>
      </c>
      <c r="C225" s="293" t="str">
        <f t="shared" si="15"/>
        <v>PanamaManufacture of chemicals and chemical products (C20)</v>
      </c>
      <c r="D225" s="297" t="s">
        <v>958</v>
      </c>
      <c r="E225" s="298">
        <v>61.849977559999999</v>
      </c>
      <c r="F225" s="298">
        <v>107.00985113999999</v>
      </c>
      <c r="G225" s="302">
        <v>0.7301518183444915</v>
      </c>
      <c r="H225" s="303">
        <v>28935.690135500001</v>
      </c>
      <c r="I225" s="298">
        <v>102.58141354999999</v>
      </c>
      <c r="J225" s="298">
        <v>107.00985113999999</v>
      </c>
      <c r="K225" s="302">
        <v>4.3169980182048207E-2</v>
      </c>
      <c r="L225" s="298">
        <v>116.15872936</v>
      </c>
      <c r="M225" s="298">
        <v>127.49606271</v>
      </c>
      <c r="N225" s="298">
        <v>136.47271527000001</v>
      </c>
      <c r="O225" s="306">
        <v>157.91370115000001</v>
      </c>
      <c r="P225" s="306" cm="1">
        <f t="array" ref="P225">INDEX($E$152:$E$676, MATCH($B225, $B$153:$B$676, 0) * MATCH("Brazil", $A$152:$A$676, 0))</f>
        <v>28997.54011306</v>
      </c>
      <c r="Q225" s="306">
        <f t="shared" si="16"/>
        <v>28935.690135500001</v>
      </c>
      <c r="R225" s="336">
        <f>INDEX('Base GDP'!$A$1:$E$76,MATCH(A225,'Base GDP'!$A$1:$A$76,0),4)</f>
        <v>58921.61186117</v>
      </c>
      <c r="S225" s="336">
        <f>INDEX('Base GDP'!$A$1:$E$76,MATCH(A225,'Base GDP'!$A$1:$A$76,0),5)</f>
        <v>65983.988595749994</v>
      </c>
      <c r="T225" s="335">
        <f t="shared" si="17"/>
        <v>1.7409811155828594E-3</v>
      </c>
      <c r="U225" s="335">
        <f t="shared" si="18"/>
        <v>1.6217548138169457E-3</v>
      </c>
      <c r="V225" s="335">
        <f t="shared" si="19"/>
        <v>-1.1922630176591374E-4</v>
      </c>
    </row>
    <row r="226" spans="1:22" x14ac:dyDescent="0.45">
      <c r="A226" s="293" t="s">
        <v>179</v>
      </c>
      <c r="B226" s="297" t="s">
        <v>1</v>
      </c>
      <c r="C226" s="293" t="str">
        <f t="shared" si="15"/>
        <v>WorldManufacture of chemicals and chemical products (C20)</v>
      </c>
      <c r="D226" s="297" t="s">
        <v>958</v>
      </c>
      <c r="E226" s="298">
        <v>850256.16648001003</v>
      </c>
      <c r="F226" s="298">
        <v>1085317.6580968001</v>
      </c>
      <c r="G226" s="302">
        <v>0.27645961403599717</v>
      </c>
      <c r="H226" s="303">
        <v>821258.62636694999</v>
      </c>
      <c r="I226" s="298">
        <v>908124.31454736996</v>
      </c>
      <c r="J226" s="298">
        <v>1085317.6580968001</v>
      </c>
      <c r="K226" s="302">
        <v>0.19512014017348212</v>
      </c>
      <c r="L226" s="298">
        <v>1193321.9638548</v>
      </c>
      <c r="M226" s="298">
        <v>1327830.6993463</v>
      </c>
      <c r="N226" s="298">
        <v>1432692.495071</v>
      </c>
      <c r="O226" s="306">
        <v>1689124.7227459999</v>
      </c>
      <c r="P226" s="306" cm="1">
        <f t="array" ref="P226">INDEX($E$152:$E$676, MATCH($B226, $B$153:$B$676, 0) * MATCH("Brazil", $A$152:$A$676, 0))</f>
        <v>28997.54011306</v>
      </c>
      <c r="Q226" s="306">
        <f t="shared" si="16"/>
        <v>-821258.62636694999</v>
      </c>
      <c r="R226" s="336">
        <f>INDEX('Base GDP'!$A$1:$E$76,MATCH(A226,'Base GDP'!$A$1:$A$76,0),4)</f>
        <v>74892116.540485993</v>
      </c>
      <c r="S226" s="336">
        <f>INDEX('Base GDP'!$A$1:$E$76,MATCH(A226,'Base GDP'!$A$1:$A$76,0),5)</f>
        <v>87029234.955234006</v>
      </c>
      <c r="T226" s="335">
        <f t="shared" si="17"/>
        <v>1.2125766455758347E-2</v>
      </c>
      <c r="U226" s="335">
        <f t="shared" si="18"/>
        <v>1.2470725023092119E-2</v>
      </c>
      <c r="V226" s="335">
        <f t="shared" si="19"/>
        <v>3.4495856733377135E-4</v>
      </c>
    </row>
    <row r="227" spans="1:22" x14ac:dyDescent="0.45">
      <c r="A227" s="293" t="s">
        <v>907</v>
      </c>
      <c r="B227" s="297" t="s">
        <v>4</v>
      </c>
      <c r="C227" s="293" t="str">
        <f t="shared" si="15"/>
        <v>ChinaManufacture of computer, electronic and optical products (C26)</v>
      </c>
      <c r="D227" s="297" t="s">
        <v>958</v>
      </c>
      <c r="E227" s="298">
        <v>129052.96324755</v>
      </c>
      <c r="F227" s="298">
        <v>427678.01541858999</v>
      </c>
      <c r="G227" s="302">
        <v>2.3139728422834898</v>
      </c>
      <c r="H227" s="303">
        <v>118423.82213369</v>
      </c>
      <c r="I227" s="298">
        <v>223873.56843096999</v>
      </c>
      <c r="J227" s="298">
        <v>427678.01541858999</v>
      </c>
      <c r="K227" s="302">
        <v>0.9103551098773941</v>
      </c>
      <c r="L227" s="298">
        <v>571331.16063174</v>
      </c>
      <c r="M227" s="298">
        <v>725237.82122854004</v>
      </c>
      <c r="N227" s="298">
        <v>848461.24970259995</v>
      </c>
      <c r="O227" s="306">
        <v>1152265.369648</v>
      </c>
      <c r="P227" s="306" cm="1">
        <f t="array" ref="P227">INDEX($E$152:$E$676, MATCH($B227, $B$153:$B$676, 0) * MATCH("Brazil", $A$152:$A$676, 0))</f>
        <v>685177.29793137999</v>
      </c>
      <c r="Q227" s="306">
        <f t="shared" si="16"/>
        <v>556124.33468383003</v>
      </c>
      <c r="R227" s="336">
        <f>INDEX('Base GDP'!$A$1:$E$76,MATCH(A227,'Base GDP'!$A$1:$A$76,0),4)</f>
        <v>11048064.947659001</v>
      </c>
      <c r="S227" s="336">
        <f>INDEX('Base GDP'!$A$1:$E$76,MATCH(A227,'Base GDP'!$A$1:$A$76,0),5)</f>
        <v>15827750.501527</v>
      </c>
      <c r="T227" s="335">
        <f t="shared" si="17"/>
        <v>2.0263599959955619E-2</v>
      </c>
      <c r="U227" s="335">
        <f t="shared" si="18"/>
        <v>2.7020770600176523E-2</v>
      </c>
      <c r="V227" s="335">
        <f t="shared" si="19"/>
        <v>6.7571706402209039E-3</v>
      </c>
    </row>
    <row r="228" spans="1:22" x14ac:dyDescent="0.45">
      <c r="A228" s="293" t="s">
        <v>141</v>
      </c>
      <c r="B228" s="297" t="s">
        <v>4</v>
      </c>
      <c r="C228" s="293" t="str">
        <f t="shared" si="15"/>
        <v>United StatesManufacture of computer, electronic and optical products (C26)</v>
      </c>
      <c r="D228" s="297" t="s">
        <v>958</v>
      </c>
      <c r="E228" s="298">
        <v>203128.96679034</v>
      </c>
      <c r="F228" s="298">
        <v>301596.46344760002</v>
      </c>
      <c r="G228" s="302">
        <v>0.4847535938037506</v>
      </c>
      <c r="H228" s="303">
        <v>192499.82567647999</v>
      </c>
      <c r="I228" s="298">
        <v>234835.43798948001</v>
      </c>
      <c r="J228" s="298">
        <v>301596.46344760002</v>
      </c>
      <c r="K228" s="302">
        <v>0.28428854703399042</v>
      </c>
      <c r="L228" s="298">
        <v>343420.52250793</v>
      </c>
      <c r="M228" s="298">
        <v>396073.36384301999</v>
      </c>
      <c r="N228" s="298">
        <v>433622.75658575998</v>
      </c>
      <c r="O228" s="306">
        <v>539953.08471824997</v>
      </c>
      <c r="P228" s="306" cm="1">
        <f t="array" ref="P228">INDEX($E$152:$E$676, MATCH($B228, $B$153:$B$676, 0) * MATCH("Brazil", $A$152:$A$676, 0))</f>
        <v>685177.29793137999</v>
      </c>
      <c r="Q228" s="306">
        <f t="shared" si="16"/>
        <v>482048.33114103996</v>
      </c>
      <c r="R228" s="336">
        <f>INDEX('Base GDP'!$A$1:$E$76,MATCH(A228,'Base GDP'!$A$1:$A$76,0),4)</f>
        <v>19553083.060252</v>
      </c>
      <c r="S228" s="336">
        <f>INDEX('Base GDP'!$A$1:$E$76,MATCH(A228,'Base GDP'!$A$1:$A$76,0),5)</f>
        <v>22265681.170655001</v>
      </c>
      <c r="T228" s="335">
        <f t="shared" si="17"/>
        <v>1.2010148847925645E-2</v>
      </c>
      <c r="U228" s="335">
        <f t="shared" si="18"/>
        <v>1.3545350853451019E-2</v>
      </c>
      <c r="V228" s="335">
        <f t="shared" si="19"/>
        <v>1.5352020055253747E-3</v>
      </c>
    </row>
    <row r="229" spans="1:22" x14ac:dyDescent="0.45">
      <c r="A229" s="293" t="s">
        <v>104</v>
      </c>
      <c r="B229" s="297" t="s">
        <v>4</v>
      </c>
      <c r="C229" s="293" t="str">
        <f t="shared" si="15"/>
        <v>South KoreaManufacture of computer, electronic and optical products (C26)</v>
      </c>
      <c r="D229" s="297" t="s">
        <v>958</v>
      </c>
      <c r="E229" s="298">
        <v>67913.171891249993</v>
      </c>
      <c r="F229" s="298">
        <v>149167.90220472999</v>
      </c>
      <c r="G229" s="302">
        <v>1.1964502327117628</v>
      </c>
      <c r="H229" s="303">
        <v>57284.030777389991</v>
      </c>
      <c r="I229" s="298">
        <v>87519.528005510001</v>
      </c>
      <c r="J229" s="298">
        <v>149167.90220472999</v>
      </c>
      <c r="K229" s="302">
        <v>0.70439564293969648</v>
      </c>
      <c r="L229" s="298">
        <v>138540.85389957999</v>
      </c>
      <c r="M229" s="298">
        <v>156735.75917594001</v>
      </c>
      <c r="N229" s="298">
        <v>171377.49252490999</v>
      </c>
      <c r="O229" s="306">
        <v>207456.08558689</v>
      </c>
      <c r="P229" s="306" cm="1">
        <f t="array" ref="P229">INDEX($E$152:$E$676, MATCH($B229, $B$153:$B$676, 0) * MATCH("Brazil", $A$152:$A$676, 0))</f>
        <v>685177.29793137999</v>
      </c>
      <c r="Q229" s="306">
        <f t="shared" si="16"/>
        <v>617264.12604013004</v>
      </c>
      <c r="R229" s="336">
        <f>INDEX('Base GDP'!$A$1:$E$76,MATCH(A229,'Base GDP'!$A$1:$A$76,0),4)</f>
        <v>1478297.0807395</v>
      </c>
      <c r="S229" s="336">
        <f>INDEX('Base GDP'!$A$1:$E$76,MATCH(A229,'Base GDP'!$A$1:$A$76,0),5)</f>
        <v>1710728.7967964001</v>
      </c>
      <c r="T229" s="335">
        <f t="shared" si="17"/>
        <v>5.9202936369007392E-2</v>
      </c>
      <c r="U229" s="335">
        <f t="shared" si="18"/>
        <v>8.7195528878726766E-2</v>
      </c>
      <c r="V229" s="335">
        <f t="shared" si="19"/>
        <v>2.7992592509719375E-2</v>
      </c>
    </row>
    <row r="230" spans="1:22" x14ac:dyDescent="0.45">
      <c r="A230" s="293" t="s">
        <v>73</v>
      </c>
      <c r="B230" s="297" t="s">
        <v>4</v>
      </c>
      <c r="C230" s="293" t="str">
        <f t="shared" si="15"/>
        <v>TaiwanManufacture of computer, electronic and optical products (C26)</v>
      </c>
      <c r="D230" s="297" t="s">
        <v>958</v>
      </c>
      <c r="E230" s="298">
        <v>55423.459750169997</v>
      </c>
      <c r="F230" s="298">
        <v>109895.22561324001</v>
      </c>
      <c r="G230" s="302">
        <v>0.98282868136724244</v>
      </c>
      <c r="H230" s="303">
        <v>44794.318636309996</v>
      </c>
      <c r="I230" s="298">
        <v>71635.890548680007</v>
      </c>
      <c r="J230" s="298">
        <v>109895.22561324001</v>
      </c>
      <c r="K230" s="302">
        <v>0.53408053939890587</v>
      </c>
      <c r="L230" s="298">
        <v>125753.40731351</v>
      </c>
      <c r="M230" s="298">
        <v>140316.97757093</v>
      </c>
      <c r="N230" s="298">
        <v>152085.62485572</v>
      </c>
      <c r="O230" s="306">
        <v>181882.17093600999</v>
      </c>
      <c r="P230" s="306" cm="1">
        <f t="array" ref="P230">INDEX($E$152:$E$676, MATCH($B230, $B$153:$B$676, 0) * MATCH("Brazil", $A$152:$A$676, 0))</f>
        <v>685177.29793137999</v>
      </c>
      <c r="Q230" s="306">
        <f t="shared" si="16"/>
        <v>629753.83818120998</v>
      </c>
      <c r="R230" s="336">
        <f>INDEX('Base GDP'!$A$1:$E$76,MATCH(A230,'Base GDP'!$A$1:$A$76,0),4)</f>
        <v>546880.06131035998</v>
      </c>
      <c r="S230" s="336">
        <f>INDEX('Base GDP'!$A$1:$E$76,MATCH(A230,'Base GDP'!$A$1:$A$76,0),5)</f>
        <v>674049.24440882006</v>
      </c>
      <c r="T230" s="335">
        <f t="shared" si="17"/>
        <v>0.13099013040818452</v>
      </c>
      <c r="U230" s="335">
        <f t="shared" si="18"/>
        <v>0.16303738417454119</v>
      </c>
      <c r="V230" s="335">
        <f t="shared" si="19"/>
        <v>3.204725376635667E-2</v>
      </c>
    </row>
    <row r="231" spans="1:22" x14ac:dyDescent="0.45">
      <c r="A231" s="293" t="s">
        <v>100</v>
      </c>
      <c r="B231" s="297" t="s">
        <v>4</v>
      </c>
      <c r="C231" s="293" t="str">
        <f t="shared" si="15"/>
        <v>JapanManufacture of computer, electronic and optical products (C26)</v>
      </c>
      <c r="D231" s="297" t="s">
        <v>958</v>
      </c>
      <c r="E231" s="298">
        <v>71222.292034869999</v>
      </c>
      <c r="F231" s="298">
        <v>80212.438028150005</v>
      </c>
      <c r="G231" s="302">
        <v>0.12622657508520629</v>
      </c>
      <c r="H231" s="303">
        <v>60593.150921009998</v>
      </c>
      <c r="I231" s="298">
        <v>78584.929072889994</v>
      </c>
      <c r="J231" s="298">
        <v>80212.438028150005</v>
      </c>
      <c r="K231" s="302">
        <v>2.0710191819991897E-2</v>
      </c>
      <c r="L231" s="298">
        <v>81468.084147689995</v>
      </c>
      <c r="M231" s="298">
        <v>88020.496602329993</v>
      </c>
      <c r="N231" s="298">
        <v>93295.403689810002</v>
      </c>
      <c r="O231" s="306">
        <v>105251.0500767</v>
      </c>
      <c r="P231" s="306" cm="1">
        <f t="array" ref="P231">INDEX($E$152:$E$676, MATCH($B231, $B$153:$B$676, 0) * MATCH("Brazil", $A$152:$A$676, 0))</f>
        <v>685177.29793137999</v>
      </c>
      <c r="Q231" s="306">
        <f t="shared" si="16"/>
        <v>613955.00589650997</v>
      </c>
      <c r="R231" s="336">
        <f>INDEX('Base GDP'!$A$1:$E$76,MATCH(A231,'Base GDP'!$A$1:$A$76,0),4)</f>
        <v>4983596.864085</v>
      </c>
      <c r="S231" s="336">
        <f>INDEX('Base GDP'!$A$1:$E$76,MATCH(A231,'Base GDP'!$A$1:$A$76,0),5)</f>
        <v>5032370.4042106001</v>
      </c>
      <c r="T231" s="335">
        <f t="shared" si="17"/>
        <v>1.57687170965259E-2</v>
      </c>
      <c r="U231" s="335">
        <f t="shared" si="18"/>
        <v>1.5939295319167286E-2</v>
      </c>
      <c r="V231" s="335">
        <f t="shared" si="19"/>
        <v>1.7057822264138559E-4</v>
      </c>
    </row>
    <row r="232" spans="1:22" x14ac:dyDescent="0.45">
      <c r="A232" s="293" t="s">
        <v>98</v>
      </c>
      <c r="B232" s="297" t="s">
        <v>4</v>
      </c>
      <c r="C232" s="293" t="str">
        <f t="shared" si="15"/>
        <v>GermanyManufacture of computer, electronic and optical products (C26)</v>
      </c>
      <c r="D232" s="297" t="s">
        <v>958</v>
      </c>
      <c r="E232" s="298">
        <v>29469.623321290001</v>
      </c>
      <c r="F232" s="298">
        <v>49875.263386960003</v>
      </c>
      <c r="G232" s="302">
        <v>0.6924296195848616</v>
      </c>
      <c r="H232" s="303">
        <v>18840.482207430003</v>
      </c>
      <c r="I232" s="298">
        <v>41506.92728435</v>
      </c>
      <c r="J232" s="298">
        <v>49875.263386960003</v>
      </c>
      <c r="K232" s="302">
        <v>0.20161299932614485</v>
      </c>
      <c r="L232" s="298">
        <v>58177.401893620001</v>
      </c>
      <c r="M232" s="298">
        <v>63845.279901449998</v>
      </c>
      <c r="N232" s="298">
        <v>67881.864807129998</v>
      </c>
      <c r="O232" s="306">
        <v>76463.430741789998</v>
      </c>
      <c r="P232" s="306" cm="1">
        <f t="array" ref="P232">INDEX($E$152:$E$676, MATCH($B232, $B$153:$B$676, 0) * MATCH("Brazil", $A$152:$A$676, 0))</f>
        <v>685177.29793137999</v>
      </c>
      <c r="Q232" s="306">
        <f t="shared" si="16"/>
        <v>655707.67461008998</v>
      </c>
      <c r="R232" s="336">
        <f>INDEX('Base GDP'!$A$1:$E$76,MATCH(A232,'Base GDP'!$A$1:$A$76,0),4)</f>
        <v>3626843.1759532001</v>
      </c>
      <c r="S232" s="336">
        <f>INDEX('Base GDP'!$A$1:$E$76,MATCH(A232,'Base GDP'!$A$1:$A$76,0),5)</f>
        <v>3849084.4984781002</v>
      </c>
      <c r="T232" s="335">
        <f t="shared" si="17"/>
        <v>1.1444367807119542E-2</v>
      </c>
      <c r="U232" s="335">
        <f t="shared" si="18"/>
        <v>1.2957695110793312E-2</v>
      </c>
      <c r="V232" s="335">
        <f t="shared" si="19"/>
        <v>1.5133273036737702E-3</v>
      </c>
    </row>
    <row r="233" spans="1:22" x14ac:dyDescent="0.45">
      <c r="A233" s="293" t="s">
        <v>121</v>
      </c>
      <c r="B233" s="297" t="s">
        <v>4</v>
      </c>
      <c r="C233" s="293" t="str">
        <f t="shared" si="15"/>
        <v>SingaporeManufacture of computer, electronic and optical products (C26)</v>
      </c>
      <c r="D233" s="297" t="s">
        <v>958</v>
      </c>
      <c r="E233" s="298">
        <v>27267.70196636</v>
      </c>
      <c r="F233" s="298">
        <v>40455.800910240003</v>
      </c>
      <c r="G233" s="302">
        <v>0.48365274639388689</v>
      </c>
      <c r="H233" s="303">
        <v>16638.560852499999</v>
      </c>
      <c r="I233" s="298">
        <v>22693.922026889999</v>
      </c>
      <c r="J233" s="298">
        <v>40455.800910240003</v>
      </c>
      <c r="K233" s="302">
        <v>0.78267118668619617</v>
      </c>
      <c r="L233" s="298">
        <v>44770.658665880001</v>
      </c>
      <c r="M233" s="298">
        <v>50664.668665539997</v>
      </c>
      <c r="N233" s="298">
        <v>55342.897595659997</v>
      </c>
      <c r="O233" s="306">
        <v>65248.94834974</v>
      </c>
      <c r="P233" s="306" cm="1">
        <f t="array" ref="P233">INDEX($E$152:$E$676, MATCH($B233, $B$153:$B$676, 0) * MATCH("Brazil", $A$152:$A$676, 0))</f>
        <v>685177.29793137999</v>
      </c>
      <c r="Q233" s="306">
        <f t="shared" si="16"/>
        <v>657909.59596502001</v>
      </c>
      <c r="R233" s="336">
        <f>INDEX('Base GDP'!$A$1:$E$76,MATCH(A233,'Base GDP'!$A$1:$A$76,0),4)</f>
        <v>331298.98374970001</v>
      </c>
      <c r="S233" s="336">
        <f>INDEX('Base GDP'!$A$1:$E$76,MATCH(A233,'Base GDP'!$A$1:$A$76,0),5)</f>
        <v>394237.177708</v>
      </c>
      <c r="T233" s="335">
        <f t="shared" si="17"/>
        <v>6.8499823845024246E-2</v>
      </c>
      <c r="U233" s="335">
        <f t="shared" si="18"/>
        <v>0.10261792443178568</v>
      </c>
      <c r="V233" s="335">
        <f t="shared" si="19"/>
        <v>3.411810058676143E-2</v>
      </c>
    </row>
    <row r="234" spans="1:22" x14ac:dyDescent="0.45">
      <c r="A234" s="293" t="s">
        <v>67</v>
      </c>
      <c r="B234" s="297" t="s">
        <v>4</v>
      </c>
      <c r="C234" s="293" t="str">
        <f t="shared" si="15"/>
        <v>SwitzerlandManufacture of computer, electronic and optical products (C26)</v>
      </c>
      <c r="D234" s="297" t="s">
        <v>958</v>
      </c>
      <c r="E234" s="298">
        <v>21146.688528449999</v>
      </c>
      <c r="F234" s="298">
        <v>25389.88678185</v>
      </c>
      <c r="G234" s="302">
        <v>0.20065544766932919</v>
      </c>
      <c r="H234" s="303">
        <v>10517.547414589999</v>
      </c>
      <c r="I234" s="298">
        <v>23405.878196019999</v>
      </c>
      <c r="J234" s="298">
        <v>25389.88678185</v>
      </c>
      <c r="K234" s="302">
        <v>8.4765398213828558E-2</v>
      </c>
      <c r="L234" s="298">
        <v>29301.684671769999</v>
      </c>
      <c r="M234" s="298">
        <v>31076.78595094</v>
      </c>
      <c r="N234" s="298">
        <v>32440.421266360001</v>
      </c>
      <c r="O234" s="306">
        <v>35461.465337709997</v>
      </c>
      <c r="P234" s="306" cm="1">
        <f t="array" ref="P234">INDEX($E$152:$E$676, MATCH($B234, $B$153:$B$676, 0) * MATCH("Brazil", $A$152:$A$676, 0))</f>
        <v>685177.29793137999</v>
      </c>
      <c r="Q234" s="306">
        <f t="shared" si="16"/>
        <v>664030.60940293001</v>
      </c>
      <c r="R234" s="336">
        <f>INDEX('Base GDP'!$A$1:$E$76,MATCH(A234,'Base GDP'!$A$1:$A$76,0),4)</f>
        <v>669989.49931316997</v>
      </c>
      <c r="S234" s="336">
        <f>INDEX('Base GDP'!$A$1:$E$76,MATCH(A234,'Base GDP'!$A$1:$A$76,0),5)</f>
        <v>743458.79269773001</v>
      </c>
      <c r="T234" s="335">
        <f t="shared" si="17"/>
        <v>3.493469408104783E-2</v>
      </c>
      <c r="U234" s="335">
        <f t="shared" si="18"/>
        <v>3.415103436966524E-2</v>
      </c>
      <c r="V234" s="335">
        <f t="shared" si="19"/>
        <v>-7.8365971138259077E-4</v>
      </c>
    </row>
    <row r="235" spans="1:22" x14ac:dyDescent="0.45">
      <c r="A235" s="293" t="s">
        <v>122</v>
      </c>
      <c r="B235" s="297" t="s">
        <v>4</v>
      </c>
      <c r="C235" s="293" t="str">
        <f t="shared" si="15"/>
        <v>VietnamManufacture of computer, electronic and optical products (C26)</v>
      </c>
      <c r="D235" s="297" t="s">
        <v>958</v>
      </c>
      <c r="E235" s="298">
        <v>5547.6442554699997</v>
      </c>
      <c r="F235" s="298">
        <v>24297.927021840002</v>
      </c>
      <c r="G235" s="302">
        <v>3.3798639391633927</v>
      </c>
      <c r="H235" s="303">
        <v>5081.4968583899999</v>
      </c>
      <c r="I235" s="298">
        <v>12625.32486574</v>
      </c>
      <c r="J235" s="298">
        <v>24297.927021840002</v>
      </c>
      <c r="K235" s="302">
        <v>0.92453875684218634</v>
      </c>
      <c r="L235" s="298">
        <v>32376.406616939999</v>
      </c>
      <c r="M235" s="298">
        <v>44471.532614410004</v>
      </c>
      <c r="N235" s="298">
        <v>55697.954316620002</v>
      </c>
      <c r="O235" s="306">
        <v>89055.145504109998</v>
      </c>
      <c r="P235" s="306" cm="1">
        <f t="array" ref="P235">INDEX($E$152:$E$676, MATCH($B235, $B$153:$B$676, 0) * MATCH("Brazil", $A$152:$A$676, 0))</f>
        <v>685177.29793137999</v>
      </c>
      <c r="Q235" s="306">
        <f t="shared" si="16"/>
        <v>679629.65367590997</v>
      </c>
      <c r="R235" s="336">
        <f>INDEX('Base GDP'!$A$1:$E$76,MATCH(A235,'Base GDP'!$A$1:$A$76,0),4)</f>
        <v>254018.52751081</v>
      </c>
      <c r="S235" s="336">
        <f>INDEX('Base GDP'!$A$1:$E$76,MATCH(A235,'Base GDP'!$A$1:$A$76,0),5)</f>
        <v>352775.42056751001</v>
      </c>
      <c r="T235" s="335">
        <f t="shared" si="17"/>
        <v>4.9702377970058567E-2</v>
      </c>
      <c r="U235" s="335">
        <f t="shared" si="18"/>
        <v>6.8876473827887197E-2</v>
      </c>
      <c r="V235" s="335">
        <f t="shared" si="19"/>
        <v>1.917409585782863E-2</v>
      </c>
    </row>
    <row r="236" spans="1:22" x14ac:dyDescent="0.45">
      <c r="A236" s="293" t="s">
        <v>75</v>
      </c>
      <c r="B236" s="297" t="s">
        <v>4</v>
      </c>
      <c r="C236" s="293" t="str">
        <f t="shared" si="15"/>
        <v>MexicoManufacture of computer, electronic and optical products (C26)</v>
      </c>
      <c r="D236" s="297" t="s">
        <v>958</v>
      </c>
      <c r="E236" s="298">
        <v>11594.544183550001</v>
      </c>
      <c r="F236" s="298">
        <v>19044.063007109999</v>
      </c>
      <c r="G236" s="302">
        <v>0.64250208594911018</v>
      </c>
      <c r="H236" s="303">
        <v>965.40306969000085</v>
      </c>
      <c r="I236" s="298">
        <v>15493.02549536</v>
      </c>
      <c r="J236" s="298">
        <v>19044.063007109999</v>
      </c>
      <c r="K236" s="302">
        <v>0.22920232802905405</v>
      </c>
      <c r="L236" s="298">
        <v>24737.59630316</v>
      </c>
      <c r="M236" s="298">
        <v>28665.21389495</v>
      </c>
      <c r="N236" s="298">
        <v>31902.364275290001</v>
      </c>
      <c r="O236" s="306">
        <v>40476.902917710002</v>
      </c>
      <c r="P236" s="306" cm="1">
        <f t="array" ref="P236">INDEX($E$152:$E$676, MATCH($B236, $B$153:$B$676, 0) * MATCH("Brazil", $A$152:$A$676, 0))</f>
        <v>685177.29793137999</v>
      </c>
      <c r="Q236" s="306">
        <f t="shared" si="16"/>
        <v>673582.75374782993</v>
      </c>
      <c r="R236" s="336">
        <f>INDEX('Base GDP'!$A$1:$E$76,MATCH(A236,'Base GDP'!$A$1:$A$76,0),4)</f>
        <v>1239119.2771185001</v>
      </c>
      <c r="S236" s="336">
        <f>INDEX('Base GDP'!$A$1:$E$76,MATCH(A236,'Base GDP'!$A$1:$A$76,0),5)</f>
        <v>1262038.2891611001</v>
      </c>
      <c r="T236" s="335">
        <f t="shared" si="17"/>
        <v>1.2503255966922032E-2</v>
      </c>
      <c r="U236" s="335">
        <f t="shared" si="18"/>
        <v>1.5089924902174668E-2</v>
      </c>
      <c r="V236" s="335">
        <f t="shared" si="19"/>
        <v>2.5866689352526361E-3</v>
      </c>
    </row>
    <row r="237" spans="1:22" x14ac:dyDescent="0.45">
      <c r="A237" s="293" t="s">
        <v>144</v>
      </c>
      <c r="B237" s="297" t="s">
        <v>4</v>
      </c>
      <c r="C237" s="293" t="str">
        <f t="shared" si="15"/>
        <v>MalaysiaManufacture of computer, electronic and optical products (C26)</v>
      </c>
      <c r="D237" s="297" t="s">
        <v>958</v>
      </c>
      <c r="E237" s="298">
        <v>6064.1063279399996</v>
      </c>
      <c r="F237" s="298">
        <v>18751.00847389</v>
      </c>
      <c r="G237" s="302">
        <v>2.0921305564013406</v>
      </c>
      <c r="H237" s="303">
        <v>4565.0347859200001</v>
      </c>
      <c r="I237" s="298">
        <v>12159.88510946</v>
      </c>
      <c r="J237" s="298">
        <v>18751.00847389</v>
      </c>
      <c r="K237" s="302">
        <v>0.54203829272221649</v>
      </c>
      <c r="L237" s="298">
        <v>26648.456799079999</v>
      </c>
      <c r="M237" s="298">
        <v>35187.963749429997</v>
      </c>
      <c r="N237" s="298">
        <v>42630.374116929997</v>
      </c>
      <c r="O237" s="306">
        <v>63476.260851649997</v>
      </c>
      <c r="P237" s="306" cm="1">
        <f t="array" ref="P237">INDEX($E$152:$E$676, MATCH($B237, $B$153:$B$676, 0) * MATCH("Brazil", $A$152:$A$676, 0))</f>
        <v>685177.29793137999</v>
      </c>
      <c r="Q237" s="306">
        <f t="shared" si="16"/>
        <v>679113.19160343998</v>
      </c>
      <c r="R237" s="336">
        <f>INDEX('Base GDP'!$A$1:$E$76,MATCH(A237,'Base GDP'!$A$1:$A$76,0),4)</f>
        <v>301830.41438700003</v>
      </c>
      <c r="S237" s="336">
        <f>INDEX('Base GDP'!$A$1:$E$76,MATCH(A237,'Base GDP'!$A$1:$A$76,0),5)</f>
        <v>356559.39228144003</v>
      </c>
      <c r="T237" s="335">
        <f t="shared" si="17"/>
        <v>4.0287143143463579E-2</v>
      </c>
      <c r="U237" s="335">
        <f t="shared" si="18"/>
        <v>5.2588738032987851E-2</v>
      </c>
      <c r="V237" s="335">
        <f t="shared" si="19"/>
        <v>1.2301594889524273E-2</v>
      </c>
    </row>
    <row r="238" spans="1:22" x14ac:dyDescent="0.45">
      <c r="A238" s="293" t="s">
        <v>76</v>
      </c>
      <c r="B238" s="297" t="s">
        <v>4</v>
      </c>
      <c r="C238" s="293" t="str">
        <f t="shared" si="15"/>
        <v>United KingdomManufacture of computer, electronic and optical products (C26)</v>
      </c>
      <c r="D238" s="297" t="s">
        <v>958</v>
      </c>
      <c r="E238" s="298">
        <v>14261.167218480001</v>
      </c>
      <c r="F238" s="298">
        <v>18503.613242629999</v>
      </c>
      <c r="G238" s="302">
        <v>0.29748238409633987</v>
      </c>
      <c r="H238" s="303">
        <v>3632.0261046200012</v>
      </c>
      <c r="I238" s="298">
        <v>14432.38321763</v>
      </c>
      <c r="J238" s="298">
        <v>18503.613242629999</v>
      </c>
      <c r="K238" s="302">
        <v>0.28208993370039903</v>
      </c>
      <c r="L238" s="298">
        <v>19387.230093670001</v>
      </c>
      <c r="M238" s="298">
        <v>21033.969691189999</v>
      </c>
      <c r="N238" s="298">
        <v>22191.14734146</v>
      </c>
      <c r="O238" s="306">
        <v>25177.144381260001</v>
      </c>
      <c r="P238" s="306" cm="1">
        <f t="array" ref="P238">INDEX($E$152:$E$676, MATCH($B238, $B$153:$B$676, 0) * MATCH("Brazil", $A$152:$A$676, 0))</f>
        <v>685177.29793137999</v>
      </c>
      <c r="Q238" s="306">
        <f t="shared" si="16"/>
        <v>670916.13071289996</v>
      </c>
      <c r="R238" s="336">
        <f>INDEX('Base GDP'!$A$1:$E$76,MATCH(A238,'Base GDP'!$A$1:$A$76,0),4)</f>
        <v>2643868.3114987002</v>
      </c>
      <c r="S238" s="336">
        <f>INDEX('Base GDP'!$A$1:$E$76,MATCH(A238,'Base GDP'!$A$1:$A$76,0),5)</f>
        <v>2777419.6130784</v>
      </c>
      <c r="T238" s="335">
        <f t="shared" si="17"/>
        <v>5.458813192344242E-3</v>
      </c>
      <c r="U238" s="335">
        <f t="shared" si="18"/>
        <v>6.6621597815107259E-3</v>
      </c>
      <c r="V238" s="335">
        <f t="shared" si="19"/>
        <v>1.2033465891664839E-3</v>
      </c>
    </row>
    <row r="239" spans="1:22" x14ac:dyDescent="0.45">
      <c r="A239" s="293" t="s">
        <v>127</v>
      </c>
      <c r="B239" s="297" t="s">
        <v>4</v>
      </c>
      <c r="C239" s="293" t="str">
        <f t="shared" si="15"/>
        <v>IrelandManufacture of computer, electronic and optical products (C26)</v>
      </c>
      <c r="D239" s="297" t="s">
        <v>958</v>
      </c>
      <c r="E239" s="298">
        <v>4900.2607006300004</v>
      </c>
      <c r="F239" s="298">
        <v>15538.13594129</v>
      </c>
      <c r="G239" s="302">
        <v>2.1708794471470356</v>
      </c>
      <c r="H239" s="303">
        <v>5728.8804132299992</v>
      </c>
      <c r="I239" s="298">
        <v>10591.016528820001</v>
      </c>
      <c r="J239" s="298">
        <v>15538.13594129</v>
      </c>
      <c r="K239" s="302">
        <v>0.46710524896340466</v>
      </c>
      <c r="L239" s="298">
        <v>18491.255807109999</v>
      </c>
      <c r="M239" s="298">
        <v>20955.083997549998</v>
      </c>
      <c r="N239" s="298">
        <v>22835.687021239999</v>
      </c>
      <c r="O239" s="306">
        <v>27671.188771500001</v>
      </c>
      <c r="P239" s="306" cm="1">
        <f t="array" ref="P239">INDEX($E$152:$E$676, MATCH($B239, $B$153:$B$676, 0) * MATCH("Brazil", $A$152:$A$676, 0))</f>
        <v>685177.29793137999</v>
      </c>
      <c r="Q239" s="306">
        <f t="shared" si="16"/>
        <v>680277.03723074996</v>
      </c>
      <c r="R239" s="336">
        <f>INDEX('Base GDP'!$A$1:$E$76,MATCH(A239,'Base GDP'!$A$1:$A$76,0),4)</f>
        <v>308812.05776281998</v>
      </c>
      <c r="S239" s="336">
        <f>INDEX('Base GDP'!$A$1:$E$76,MATCH(A239,'Base GDP'!$A$1:$A$76,0),5)</f>
        <v>483748.84960921999</v>
      </c>
      <c r="T239" s="335">
        <f t="shared" si="17"/>
        <v>3.4295994157567268E-2</v>
      </c>
      <c r="U239" s="335">
        <f t="shared" si="18"/>
        <v>3.2120254040587284E-2</v>
      </c>
      <c r="V239" s="335">
        <f t="shared" si="19"/>
        <v>-2.1757401169799837E-3</v>
      </c>
    </row>
    <row r="240" spans="1:22" x14ac:dyDescent="0.45">
      <c r="A240" s="293" t="s">
        <v>97</v>
      </c>
      <c r="B240" s="297" t="s">
        <v>4</v>
      </c>
      <c r="C240" s="293" t="str">
        <f t="shared" si="15"/>
        <v>FranceManufacture of computer, electronic and optical products (C26)</v>
      </c>
      <c r="D240" s="297" t="s">
        <v>958</v>
      </c>
      <c r="E240" s="298">
        <v>9963.4782715599995</v>
      </c>
      <c r="F240" s="298">
        <v>14545.553506890001</v>
      </c>
      <c r="G240" s="302">
        <v>0.45988711075018762</v>
      </c>
      <c r="H240" s="303">
        <v>665.66284230000019</v>
      </c>
      <c r="I240" s="298">
        <v>12269.95116242</v>
      </c>
      <c r="J240" s="298">
        <v>14545.553506890001</v>
      </c>
      <c r="K240" s="302">
        <v>0.18546140195240879</v>
      </c>
      <c r="L240" s="298">
        <v>17775.246231249999</v>
      </c>
      <c r="M240" s="298">
        <v>19362.989272210001</v>
      </c>
      <c r="N240" s="298">
        <v>20629.970979400001</v>
      </c>
      <c r="O240" s="306">
        <v>23804.411176739999</v>
      </c>
      <c r="P240" s="306" cm="1">
        <f t="array" ref="P240">INDEX($E$152:$E$676, MATCH($B240, $B$153:$B$676, 0) * MATCH("Brazil", $A$152:$A$676, 0))</f>
        <v>685177.29793137999</v>
      </c>
      <c r="Q240" s="306">
        <f t="shared" si="16"/>
        <v>675213.81965981994</v>
      </c>
      <c r="R240" s="336">
        <f>INDEX('Base GDP'!$A$1:$E$76,MATCH(A240,'Base GDP'!$A$1:$A$76,0),4)</f>
        <v>2544956.5086996001</v>
      </c>
      <c r="S240" s="336">
        <f>INDEX('Base GDP'!$A$1:$E$76,MATCH(A240,'Base GDP'!$A$1:$A$76,0),5)</f>
        <v>2682424.2983101001</v>
      </c>
      <c r="T240" s="335">
        <f t="shared" si="17"/>
        <v>4.821281275525449E-3</v>
      </c>
      <c r="U240" s="335">
        <f t="shared" si="18"/>
        <v>5.4225401686278903E-3</v>
      </c>
      <c r="V240" s="335">
        <f t="shared" si="19"/>
        <v>6.0125889310244131E-4</v>
      </c>
    </row>
    <row r="241" spans="1:22" x14ac:dyDescent="0.45">
      <c r="A241" s="293" t="s">
        <v>123</v>
      </c>
      <c r="B241" s="297" t="s">
        <v>4</v>
      </c>
      <c r="C241" s="293" t="str">
        <f t="shared" si="15"/>
        <v>IsraelManufacture of computer, electronic and optical products (C26)</v>
      </c>
      <c r="D241" s="297" t="s">
        <v>958</v>
      </c>
      <c r="E241" s="298">
        <v>9281.4246470399994</v>
      </c>
      <c r="F241" s="298">
        <v>14067.41161134</v>
      </c>
      <c r="G241" s="302">
        <v>0.51565219201842361</v>
      </c>
      <c r="H241" s="303">
        <v>1347.7164668200003</v>
      </c>
      <c r="I241" s="298">
        <v>9240.64542239</v>
      </c>
      <c r="J241" s="298">
        <v>14067.41161134</v>
      </c>
      <c r="K241" s="302">
        <v>0.52234080719673415</v>
      </c>
      <c r="L241" s="298">
        <v>17427.863951470001</v>
      </c>
      <c r="M241" s="298">
        <v>19664.890433410001</v>
      </c>
      <c r="N241" s="298">
        <v>21491.8815669</v>
      </c>
      <c r="O241" s="306">
        <v>26301.543590590001</v>
      </c>
      <c r="P241" s="306" cm="1">
        <f t="array" ref="P241">INDEX($E$152:$E$676, MATCH($B241, $B$153:$B$676, 0) * MATCH("Brazil", $A$152:$A$676, 0))</f>
        <v>685177.29793137999</v>
      </c>
      <c r="Q241" s="306">
        <f t="shared" si="16"/>
        <v>675895.87328434002</v>
      </c>
      <c r="R241" s="336">
        <f>INDEX('Base GDP'!$A$1:$E$76,MATCH(A241,'Base GDP'!$A$1:$A$76,0),4)</f>
        <v>339252.33917334001</v>
      </c>
      <c r="S241" s="336">
        <f>INDEX('Base GDP'!$A$1:$E$76,MATCH(A241,'Base GDP'!$A$1:$A$76,0),5)</f>
        <v>430314.68651226</v>
      </c>
      <c r="T241" s="335">
        <f t="shared" si="17"/>
        <v>2.7238265902327408E-2</v>
      </c>
      <c r="U241" s="335">
        <f t="shared" si="18"/>
        <v>3.269098650886787E-2</v>
      </c>
      <c r="V241" s="335">
        <f t="shared" si="19"/>
        <v>5.4527206065404614E-3</v>
      </c>
    </row>
    <row r="242" spans="1:22" x14ac:dyDescent="0.45">
      <c r="A242" s="293" t="s">
        <v>109</v>
      </c>
      <c r="B242" s="297" t="s">
        <v>4</v>
      </c>
      <c r="C242" s="293" t="str">
        <f t="shared" si="15"/>
        <v>ThailandManufacture of computer, electronic and optical products (C26)</v>
      </c>
      <c r="D242" s="297" t="s">
        <v>958</v>
      </c>
      <c r="E242" s="298">
        <v>11608.68236133</v>
      </c>
      <c r="F242" s="298">
        <v>10267.58433272</v>
      </c>
      <c r="G242" s="302">
        <v>-0.11552543061022746</v>
      </c>
      <c r="H242" s="303">
        <v>979.5412474700006</v>
      </c>
      <c r="I242" s="298">
        <v>9748.3036688400007</v>
      </c>
      <c r="J242" s="298">
        <v>10267.58433272</v>
      </c>
      <c r="K242" s="302">
        <v>5.3268823122514686E-2</v>
      </c>
      <c r="L242" s="298">
        <v>9579.7435086700007</v>
      </c>
      <c r="M242" s="298">
        <v>11315.31878105</v>
      </c>
      <c r="N242" s="298">
        <v>12775.50707077</v>
      </c>
      <c r="O242" s="306">
        <v>16712.445791819999</v>
      </c>
      <c r="P242" s="306" cm="1">
        <f t="array" ref="P242">INDEX($E$152:$E$676, MATCH($B242, $B$153:$B$676, 0) * MATCH("Brazil", $A$152:$A$676, 0))</f>
        <v>685177.29793137999</v>
      </c>
      <c r="Q242" s="306">
        <f t="shared" si="16"/>
        <v>673568.61557004997</v>
      </c>
      <c r="R242" s="336">
        <f>INDEX('Base GDP'!$A$1:$E$76,MATCH(A242,'Base GDP'!$A$1:$A$76,0),4)</f>
        <v>474324.68093352998</v>
      </c>
      <c r="S242" s="336">
        <f>INDEX('Base GDP'!$A$1:$E$76,MATCH(A242,'Base GDP'!$A$1:$A$76,0),5)</f>
        <v>518585.14704719</v>
      </c>
      <c r="T242" s="335">
        <f t="shared" si="17"/>
        <v>2.0551963793353799E-2</v>
      </c>
      <c r="U242" s="335">
        <f t="shared" si="18"/>
        <v>1.9799225626077707E-2</v>
      </c>
      <c r="V242" s="335">
        <f t="shared" si="19"/>
        <v>-7.5273816727609161E-4</v>
      </c>
    </row>
    <row r="243" spans="1:22" x14ac:dyDescent="0.45">
      <c r="A243" s="293" t="s">
        <v>101</v>
      </c>
      <c r="B243" s="297" t="s">
        <v>4</v>
      </c>
      <c r="C243" s="293" t="str">
        <f t="shared" si="15"/>
        <v>ItalyManufacture of computer, electronic and optical products (C26)</v>
      </c>
      <c r="D243" s="297" t="s">
        <v>958</v>
      </c>
      <c r="E243" s="298">
        <v>11422.274702729999</v>
      </c>
      <c r="F243" s="298">
        <v>10264.231467330001</v>
      </c>
      <c r="G243" s="302">
        <v>-0.10138464233601552</v>
      </c>
      <c r="H243" s="303">
        <v>793.13358886999958</v>
      </c>
      <c r="I243" s="298">
        <v>9910.5741182500005</v>
      </c>
      <c r="J243" s="298">
        <v>10264.231467330001</v>
      </c>
      <c r="K243" s="302">
        <v>3.5684849824063392E-2</v>
      </c>
      <c r="L243" s="298">
        <v>11080.64817232</v>
      </c>
      <c r="M243" s="298">
        <v>11502.28770556</v>
      </c>
      <c r="N243" s="298">
        <v>11859.908765009999</v>
      </c>
      <c r="O243" s="306">
        <v>12598.83057869</v>
      </c>
      <c r="P243" s="306" cm="1">
        <f t="array" ref="P243">INDEX($E$152:$E$676, MATCH($B243, $B$153:$B$676, 0) * MATCH("Brazil", $A$152:$A$676, 0))</f>
        <v>685177.29793137999</v>
      </c>
      <c r="Q243" s="306">
        <f t="shared" si="16"/>
        <v>673755.02322864998</v>
      </c>
      <c r="R243" s="336">
        <f>INDEX('Base GDP'!$A$1:$E$76,MATCH(A243,'Base GDP'!$A$1:$A$76,0),4)</f>
        <v>1924364.2462229</v>
      </c>
      <c r="S243" s="336">
        <f>INDEX('Base GDP'!$A$1:$E$76,MATCH(A243,'Base GDP'!$A$1:$A$76,0),5)</f>
        <v>1980878.3634254001</v>
      </c>
      <c r="T243" s="335">
        <f t="shared" si="17"/>
        <v>5.1500510559278258E-3</v>
      </c>
      <c r="U243" s="335">
        <f t="shared" si="18"/>
        <v>5.1816566109494748E-3</v>
      </c>
      <c r="V243" s="335">
        <f t="shared" si="19"/>
        <v>3.1605555021648954E-5</v>
      </c>
    </row>
    <row r="244" spans="1:22" x14ac:dyDescent="0.45">
      <c r="A244" s="293" t="s">
        <v>106</v>
      </c>
      <c r="B244" s="297" t="s">
        <v>4</v>
      </c>
      <c r="C244" s="293" t="str">
        <f t="shared" si="15"/>
        <v>RussiaManufacture of computer, electronic and optical products (C26)</v>
      </c>
      <c r="D244" s="297" t="s">
        <v>958</v>
      </c>
      <c r="E244" s="298">
        <v>9095.8633059000003</v>
      </c>
      <c r="F244" s="298">
        <v>7999.0091476699999</v>
      </c>
      <c r="G244" s="302">
        <v>-0.12058824119735068</v>
      </c>
      <c r="H244" s="303">
        <v>1533.2778079599993</v>
      </c>
      <c r="I244" s="298">
        <v>10200.11013879</v>
      </c>
      <c r="J244" s="298">
        <v>7999.0091476699999</v>
      </c>
      <c r="K244" s="302">
        <v>-0.21579188471205157</v>
      </c>
      <c r="L244" s="298">
        <v>25445.693496290001</v>
      </c>
      <c r="M244" s="298">
        <v>30522.33645902</v>
      </c>
      <c r="N244" s="298">
        <v>32949.958900689999</v>
      </c>
      <c r="O244" s="306">
        <v>38388.935562060004</v>
      </c>
      <c r="P244" s="306" cm="1">
        <f t="array" ref="P244">INDEX($E$152:$E$676, MATCH($B244, $B$153:$B$676, 0) * MATCH("Brazil", $A$152:$A$676, 0))</f>
        <v>685177.29793137999</v>
      </c>
      <c r="Q244" s="306">
        <f t="shared" si="16"/>
        <v>676081.43462547997</v>
      </c>
      <c r="R244" s="336">
        <f>INDEX('Base GDP'!$A$1:$E$76,MATCH(A244,'Base GDP'!$A$1:$A$76,0),4)</f>
        <v>1579786.0768998</v>
      </c>
      <c r="S244" s="336">
        <f>INDEX('Base GDP'!$A$1:$E$76,MATCH(A244,'Base GDP'!$A$1:$A$76,0),5)</f>
        <v>1741025.8573970001</v>
      </c>
      <c r="T244" s="335">
        <f t="shared" si="17"/>
        <v>6.4566401033277088E-3</v>
      </c>
      <c r="U244" s="335">
        <f t="shared" si="18"/>
        <v>4.5944229453486023E-3</v>
      </c>
      <c r="V244" s="335">
        <f t="shared" si="19"/>
        <v>-1.8622171579791066E-3</v>
      </c>
    </row>
    <row r="245" spans="1:22" x14ac:dyDescent="0.45">
      <c r="A245" s="294" t="s">
        <v>18</v>
      </c>
      <c r="B245" s="299" t="s">
        <v>4</v>
      </c>
      <c r="C245" s="293" t="str">
        <f t="shared" si="15"/>
        <v>BrazilManufacture of computer, electronic and optical products (C26)</v>
      </c>
      <c r="D245" s="297" t="s">
        <v>958</v>
      </c>
      <c r="E245" s="300">
        <v>10629.14111386</v>
      </c>
      <c r="F245" s="300">
        <v>6767.3889727200003</v>
      </c>
      <c r="G245" s="304">
        <v>-0.36331742139582845</v>
      </c>
      <c r="H245" s="305">
        <v>0</v>
      </c>
      <c r="I245" s="300">
        <v>7126.2290258499997</v>
      </c>
      <c r="J245" s="300">
        <v>6767.3889727200003</v>
      </c>
      <c r="K245" s="304">
        <v>-5.0354830279566776E-2</v>
      </c>
      <c r="L245" s="300">
        <v>6776.0093472299995</v>
      </c>
      <c r="M245" s="300">
        <v>7573.9476567000002</v>
      </c>
      <c r="N245" s="300">
        <v>8229.6259501099994</v>
      </c>
      <c r="O245" s="307">
        <v>9854.2880723199996</v>
      </c>
      <c r="P245" s="306" cm="1">
        <f t="array" ref="P245">INDEX($E$152:$E$676, MATCH($B245, $B$153:$B$676, 0) * MATCH("Brazil", $A$152:$A$676, 0))</f>
        <v>685177.29793137999</v>
      </c>
      <c r="Q245" s="306">
        <f t="shared" si="16"/>
        <v>674548.15681752004</v>
      </c>
      <c r="R245" s="336">
        <f>INDEX('Base GDP'!$A$1:$E$76,MATCH(A245,'Base GDP'!$A$1:$A$76,0),4)</f>
        <v>1855726.8356911</v>
      </c>
      <c r="S245" s="336">
        <f>INDEX('Base GDP'!$A$1:$E$76,MATCH(A245,'Base GDP'!$A$1:$A$76,0),5)</f>
        <v>1898091.4722179</v>
      </c>
      <c r="T245" s="335">
        <f t="shared" si="17"/>
        <v>3.8401282391306731E-3</v>
      </c>
      <c r="U245" s="335">
        <f t="shared" si="18"/>
        <v>3.5653650373405751E-3</v>
      </c>
      <c r="V245" s="335">
        <f t="shared" si="19"/>
        <v>-2.74763201790098E-4</v>
      </c>
    </row>
    <row r="246" spans="1:22" x14ac:dyDescent="0.45">
      <c r="A246" s="293" t="s">
        <v>63</v>
      </c>
      <c r="B246" s="297" t="s">
        <v>4</v>
      </c>
      <c r="C246" s="293" t="str">
        <f t="shared" si="15"/>
        <v>CanadaManufacture of computer, electronic and optical products (C26)</v>
      </c>
      <c r="D246" s="297" t="s">
        <v>958</v>
      </c>
      <c r="E246" s="298">
        <v>6513.6135846999996</v>
      </c>
      <c r="F246" s="298">
        <v>6210.2047843999999</v>
      </c>
      <c r="G246" s="302">
        <v>-4.658071842221112E-2</v>
      </c>
      <c r="H246" s="303">
        <v>4115.5275291600001</v>
      </c>
      <c r="I246" s="298">
        <v>4985.1353542699999</v>
      </c>
      <c r="J246" s="298">
        <v>6210.2047843999999</v>
      </c>
      <c r="K246" s="302">
        <v>0.2457444669141573</v>
      </c>
      <c r="L246" s="298">
        <v>6599.2901771799998</v>
      </c>
      <c r="M246" s="298">
        <v>7131.8148755900002</v>
      </c>
      <c r="N246" s="298">
        <v>7565.20539792</v>
      </c>
      <c r="O246" s="306">
        <v>8750.8185587200005</v>
      </c>
      <c r="P246" s="306" cm="1">
        <f t="array" ref="P246">INDEX($E$152:$E$676, MATCH($B246, $B$153:$B$676, 0) * MATCH("Brazil", $A$152:$A$676, 0))</f>
        <v>685177.29793137999</v>
      </c>
      <c r="Q246" s="306">
        <f t="shared" si="16"/>
        <v>678663.68434667995</v>
      </c>
      <c r="R246" s="336">
        <f>INDEX('Base GDP'!$A$1:$E$76,MATCH(A246,'Base GDP'!$A$1:$A$76,0),4)</f>
        <v>1599989.9756132001</v>
      </c>
      <c r="S246" s="336">
        <f>INDEX('Base GDP'!$A$1:$E$76,MATCH(A246,'Base GDP'!$A$1:$A$76,0),5)</f>
        <v>1743385.5162593001</v>
      </c>
      <c r="T246" s="335">
        <f t="shared" si="17"/>
        <v>3.1157291172148965E-3</v>
      </c>
      <c r="U246" s="335">
        <f t="shared" si="18"/>
        <v>3.5621523331941765E-3</v>
      </c>
      <c r="V246" s="335">
        <f t="shared" si="19"/>
        <v>4.4642321597928008E-4</v>
      </c>
    </row>
    <row r="247" spans="1:22" x14ac:dyDescent="0.45">
      <c r="A247" s="293" t="s">
        <v>66</v>
      </c>
      <c r="B247" s="297" t="s">
        <v>4</v>
      </c>
      <c r="C247" s="293" t="str">
        <f t="shared" si="15"/>
        <v>NetherlandsManufacture of computer, electronic and optical products (C26)</v>
      </c>
      <c r="D247" s="297" t="s">
        <v>958</v>
      </c>
      <c r="E247" s="298">
        <v>3872.7799322400001</v>
      </c>
      <c r="F247" s="298">
        <v>5558.4911969799996</v>
      </c>
      <c r="G247" s="302">
        <v>0.43527163800525859</v>
      </c>
      <c r="H247" s="303">
        <v>6756.3611816199991</v>
      </c>
      <c r="I247" s="298">
        <v>4309.8534437799999</v>
      </c>
      <c r="J247" s="298">
        <v>5558.4911969799996</v>
      </c>
      <c r="K247" s="302">
        <v>0.28971698678107938</v>
      </c>
      <c r="L247" s="298">
        <v>6960.7280032500003</v>
      </c>
      <c r="M247" s="298">
        <v>8526.2554007700001</v>
      </c>
      <c r="N247" s="298">
        <v>9788.5947453299996</v>
      </c>
      <c r="O247" s="306">
        <v>13096.26572854</v>
      </c>
      <c r="P247" s="306" cm="1">
        <f t="array" ref="P247">INDEX($E$152:$E$676, MATCH($B247, $B$153:$B$676, 0) * MATCH("Brazil", $A$152:$A$676, 0))</f>
        <v>685177.29793137999</v>
      </c>
      <c r="Q247" s="306">
        <f t="shared" si="16"/>
        <v>681304.51799913996</v>
      </c>
      <c r="R247" s="336">
        <f>INDEX('Base GDP'!$A$1:$E$76,MATCH(A247,'Base GDP'!$A$1:$A$76,0),4)</f>
        <v>829203.89806390996</v>
      </c>
      <c r="S247" s="336">
        <f>INDEX('Base GDP'!$A$1:$E$76,MATCH(A247,'Base GDP'!$A$1:$A$76,0),5)</f>
        <v>928325.09368340997</v>
      </c>
      <c r="T247" s="335">
        <f t="shared" si="17"/>
        <v>5.1975798158245302E-3</v>
      </c>
      <c r="U247" s="335">
        <f t="shared" si="18"/>
        <v>5.9876558705582415E-3</v>
      </c>
      <c r="V247" s="335">
        <f t="shared" si="19"/>
        <v>7.9007605473371129E-4</v>
      </c>
    </row>
    <row r="248" spans="1:22" x14ac:dyDescent="0.45">
      <c r="A248" s="293" t="s">
        <v>72</v>
      </c>
      <c r="B248" s="297" t="s">
        <v>4</v>
      </c>
      <c r="C248" s="293" t="str">
        <f t="shared" si="15"/>
        <v>AustriaManufacture of computer, electronic and optical products (C26)</v>
      </c>
      <c r="D248" s="297" t="s">
        <v>958</v>
      </c>
      <c r="E248" s="298">
        <v>2419.1220377599998</v>
      </c>
      <c r="F248" s="298">
        <v>4736.4755097400002</v>
      </c>
      <c r="G248" s="302">
        <v>0.95793161147246941</v>
      </c>
      <c r="H248" s="303">
        <v>8210.0190760999994</v>
      </c>
      <c r="I248" s="298">
        <v>2924.1827802600001</v>
      </c>
      <c r="J248" s="298">
        <v>4736.4755097400002</v>
      </c>
      <c r="K248" s="302">
        <v>0.61976041364926671</v>
      </c>
      <c r="L248" s="298">
        <v>6375.6693218099999</v>
      </c>
      <c r="M248" s="298">
        <v>6996.0239377099997</v>
      </c>
      <c r="N248" s="298">
        <v>7462.0687580000003</v>
      </c>
      <c r="O248" s="306">
        <v>8472.0897288800006</v>
      </c>
      <c r="P248" s="306" cm="1">
        <f t="array" ref="P248">INDEX($E$152:$E$676, MATCH($B248, $B$153:$B$676, 0) * MATCH("Brazil", $A$152:$A$676, 0))</f>
        <v>685177.29793137999</v>
      </c>
      <c r="Q248" s="306">
        <f t="shared" si="16"/>
        <v>682758.17589362001</v>
      </c>
      <c r="R248" s="336">
        <f>INDEX('Base GDP'!$A$1:$E$76,MATCH(A248,'Base GDP'!$A$1:$A$76,0),4)</f>
        <v>410010.85265116999</v>
      </c>
      <c r="S248" s="336">
        <f>INDEX('Base GDP'!$A$1:$E$76,MATCH(A248,'Base GDP'!$A$1:$A$76,0),5)</f>
        <v>432694.04992214998</v>
      </c>
      <c r="T248" s="335">
        <f t="shared" si="17"/>
        <v>7.1319643403386767E-3</v>
      </c>
      <c r="U248" s="335">
        <f t="shared" si="18"/>
        <v>1.0946477102220804E-2</v>
      </c>
      <c r="V248" s="335">
        <f t="shared" si="19"/>
        <v>3.8145127618821276E-3</v>
      </c>
    </row>
    <row r="249" spans="1:22" x14ac:dyDescent="0.45">
      <c r="A249" s="293" t="s">
        <v>70</v>
      </c>
      <c r="B249" s="297" t="s">
        <v>4</v>
      </c>
      <c r="C249" s="293" t="str">
        <f t="shared" si="15"/>
        <v>IndiaManufacture of computer, electronic and optical products (C26)</v>
      </c>
      <c r="D249" s="297" t="s">
        <v>958</v>
      </c>
      <c r="E249" s="298">
        <v>3304.8898805099998</v>
      </c>
      <c r="F249" s="298">
        <v>4404.4162485300003</v>
      </c>
      <c r="G249" s="302">
        <v>0.3326968243342272</v>
      </c>
      <c r="H249" s="303">
        <v>7324.2512333499999</v>
      </c>
      <c r="I249" s="298">
        <v>4215.5676293400002</v>
      </c>
      <c r="J249" s="298">
        <v>4404.4162485300003</v>
      </c>
      <c r="K249" s="302">
        <v>4.4797909983848694E-2</v>
      </c>
      <c r="L249" s="298">
        <v>5396.2755758499998</v>
      </c>
      <c r="M249" s="298">
        <v>6944.68967307</v>
      </c>
      <c r="N249" s="298">
        <v>8232.3027038700002</v>
      </c>
      <c r="O249" s="306">
        <v>11783.297475429999</v>
      </c>
      <c r="P249" s="306" cm="1">
        <f t="array" ref="P249">INDEX($E$152:$E$676, MATCH($B249, $B$153:$B$676, 0) * MATCH("Brazil", $A$152:$A$676, 0))</f>
        <v>685177.29793137999</v>
      </c>
      <c r="Q249" s="306">
        <f t="shared" si="16"/>
        <v>681872.40805086994</v>
      </c>
      <c r="R249" s="336">
        <f>INDEX('Base GDP'!$A$1:$E$76,MATCH(A249,'Base GDP'!$A$1:$A$76,0),4)</f>
        <v>2233583.9807687998</v>
      </c>
      <c r="S249" s="336">
        <f>INDEX('Base GDP'!$A$1:$E$76,MATCH(A249,'Base GDP'!$A$1:$A$76,0),5)</f>
        <v>2928405.219999</v>
      </c>
      <c r="T249" s="335">
        <f t="shared" si="17"/>
        <v>1.887355776920016E-3</v>
      </c>
      <c r="U249" s="335">
        <f t="shared" si="18"/>
        <v>1.5040323717670141E-3</v>
      </c>
      <c r="V249" s="335">
        <f t="shared" si="19"/>
        <v>-3.8332340515300194E-4</v>
      </c>
    </row>
    <row r="250" spans="1:22" x14ac:dyDescent="0.45">
      <c r="A250" s="293" t="s">
        <v>126</v>
      </c>
      <c r="B250" s="297" t="s">
        <v>4</v>
      </c>
      <c r="C250" s="293" t="str">
        <f t="shared" si="15"/>
        <v>FinlandManufacture of computer, electronic and optical products (C26)</v>
      </c>
      <c r="D250" s="297" t="s">
        <v>958</v>
      </c>
      <c r="E250" s="298">
        <v>6901.70212601</v>
      </c>
      <c r="F250" s="298">
        <v>3963.3547867299999</v>
      </c>
      <c r="G250" s="302">
        <v>-0.42574241623764664</v>
      </c>
      <c r="H250" s="303">
        <v>3727.4389878499996</v>
      </c>
      <c r="I250" s="298">
        <v>3833.5106822100001</v>
      </c>
      <c r="J250" s="298">
        <v>3963.3547867299999</v>
      </c>
      <c r="K250" s="302">
        <v>3.3870808061801316E-2</v>
      </c>
      <c r="L250" s="298">
        <v>4301.0429006300001</v>
      </c>
      <c r="M250" s="298">
        <v>4925.8755147100001</v>
      </c>
      <c r="N250" s="298">
        <v>5402.0247448999999</v>
      </c>
      <c r="O250" s="306">
        <v>6633.5207441700004</v>
      </c>
      <c r="P250" s="306" cm="1">
        <f t="array" ref="P250">INDEX($E$152:$E$676, MATCH($B250, $B$153:$B$676, 0) * MATCH("Brazil", $A$152:$A$676, 0))</f>
        <v>685177.29793137999</v>
      </c>
      <c r="Q250" s="306">
        <f t="shared" si="16"/>
        <v>678275.59580537002</v>
      </c>
      <c r="R250" s="336">
        <f>INDEX('Base GDP'!$A$1:$E$76,MATCH(A250,'Base GDP'!$A$1:$A$76,0),4)</f>
        <v>247207.29862345001</v>
      </c>
      <c r="S250" s="336">
        <f>INDEX('Base GDP'!$A$1:$E$76,MATCH(A250,'Base GDP'!$A$1:$A$76,0),5)</f>
        <v>270499.52733732999</v>
      </c>
      <c r="T250" s="335">
        <f t="shared" si="17"/>
        <v>1.5507271442051001E-2</v>
      </c>
      <c r="U250" s="335">
        <f t="shared" si="18"/>
        <v>1.4651984148524764E-2</v>
      </c>
      <c r="V250" s="335">
        <f t="shared" si="19"/>
        <v>-8.5528729352623775E-4</v>
      </c>
    </row>
    <row r="251" spans="1:22" x14ac:dyDescent="0.45">
      <c r="A251" s="293" t="s">
        <v>120</v>
      </c>
      <c r="B251" s="297" t="s">
        <v>4</v>
      </c>
      <c r="C251" s="293" t="str">
        <f t="shared" si="15"/>
        <v>AustraliaManufacture of computer, electronic and optical products (C26)</v>
      </c>
      <c r="D251" s="297" t="s">
        <v>958</v>
      </c>
      <c r="E251" s="298">
        <v>2905.3267958000001</v>
      </c>
      <c r="F251" s="298">
        <v>3564.2804754499998</v>
      </c>
      <c r="G251" s="302">
        <v>0.22680879844656254</v>
      </c>
      <c r="H251" s="303">
        <v>7723.81431806</v>
      </c>
      <c r="I251" s="298">
        <v>3301.21264518</v>
      </c>
      <c r="J251" s="298">
        <v>3564.2804754499998</v>
      </c>
      <c r="K251" s="302">
        <v>7.9688241426706385E-2</v>
      </c>
      <c r="L251" s="298">
        <v>3895.68222053</v>
      </c>
      <c r="M251" s="298">
        <v>4130.9318076500003</v>
      </c>
      <c r="N251" s="298">
        <v>4281.4390249999997</v>
      </c>
      <c r="O251" s="306">
        <v>4625.3079260599998</v>
      </c>
      <c r="P251" s="306" cm="1">
        <f t="array" ref="P251">INDEX($E$152:$E$676, MATCH($B251, $B$153:$B$676, 0) * MATCH("Brazil", $A$152:$A$676, 0))</f>
        <v>685177.29793137999</v>
      </c>
      <c r="Q251" s="306">
        <f t="shared" si="16"/>
        <v>682271.97113557998</v>
      </c>
      <c r="R251" s="336">
        <f>INDEX('Base GDP'!$A$1:$E$76,MATCH(A251,'Base GDP'!$A$1:$A$76,0),4)</f>
        <v>1256563.3075111001</v>
      </c>
      <c r="S251" s="336">
        <f>INDEX('Base GDP'!$A$1:$E$76,MATCH(A251,'Base GDP'!$A$1:$A$76,0),5)</f>
        <v>1430586.2916371</v>
      </c>
      <c r="T251" s="335">
        <f t="shared" si="17"/>
        <v>2.6271757462970786E-3</v>
      </c>
      <c r="U251" s="335">
        <f t="shared" si="18"/>
        <v>2.4914823357989778E-3</v>
      </c>
      <c r="V251" s="335">
        <f t="shared" si="19"/>
        <v>-1.3569341049810089E-4</v>
      </c>
    </row>
    <row r="252" spans="1:22" x14ac:dyDescent="0.45">
      <c r="A252" s="293" t="s">
        <v>99</v>
      </c>
      <c r="B252" s="297" t="s">
        <v>4</v>
      </c>
      <c r="C252" s="293" t="str">
        <f t="shared" si="15"/>
        <v>IndonesiaManufacture of computer, electronic and optical products (C26)</v>
      </c>
      <c r="D252" s="297" t="s">
        <v>958</v>
      </c>
      <c r="E252" s="298">
        <v>4396.1396463700003</v>
      </c>
      <c r="F252" s="298">
        <v>3391.5889187500002</v>
      </c>
      <c r="G252" s="302">
        <v>-0.22850746528251942</v>
      </c>
      <c r="H252" s="303">
        <v>6233.0014674899994</v>
      </c>
      <c r="I252" s="298">
        <v>5121.6321165099998</v>
      </c>
      <c r="J252" s="298">
        <v>3391.5889187500002</v>
      </c>
      <c r="K252" s="302">
        <v>-0.33779138337231684</v>
      </c>
      <c r="L252" s="298">
        <v>4514.1717363799999</v>
      </c>
      <c r="M252" s="298">
        <v>5554.2648827100002</v>
      </c>
      <c r="N252" s="298">
        <v>6432.6849535800002</v>
      </c>
      <c r="O252" s="306">
        <v>8805.7500218500008</v>
      </c>
      <c r="P252" s="306" cm="1">
        <f t="array" ref="P252">INDEX($E$152:$E$676, MATCH($B252, $B$153:$B$676, 0) * MATCH("Brazil", $A$152:$A$676, 0))</f>
        <v>685177.29793137999</v>
      </c>
      <c r="Q252" s="306">
        <f t="shared" si="16"/>
        <v>680781.15828501002</v>
      </c>
      <c r="R252" s="336">
        <f>INDEX('Base GDP'!$A$1:$E$76,MATCH(A252,'Base GDP'!$A$1:$A$76,0),4)</f>
        <v>917924.88667253999</v>
      </c>
      <c r="S252" s="336">
        <f>INDEX('Base GDP'!$A$1:$E$76,MATCH(A252,'Base GDP'!$A$1:$A$76,0),5)</f>
        <v>1136354.4627425</v>
      </c>
      <c r="T252" s="335">
        <f t="shared" si="17"/>
        <v>5.5795764891785615E-3</v>
      </c>
      <c r="U252" s="335">
        <f t="shared" si="18"/>
        <v>2.9846223427192546E-3</v>
      </c>
      <c r="V252" s="335">
        <f t="shared" si="19"/>
        <v>-2.5949541464593069E-3</v>
      </c>
    </row>
    <row r="253" spans="1:22" x14ac:dyDescent="0.45">
      <c r="A253" s="293" t="s">
        <v>112</v>
      </c>
      <c r="B253" s="297" t="s">
        <v>4</v>
      </c>
      <c r="C253" s="293" t="str">
        <f t="shared" si="15"/>
        <v>PolandManufacture of computer, electronic and optical products (C26)</v>
      </c>
      <c r="D253" s="297" t="s">
        <v>958</v>
      </c>
      <c r="E253" s="298">
        <v>1963.4630027799999</v>
      </c>
      <c r="F253" s="298">
        <v>3058.4049192100001</v>
      </c>
      <c r="G253" s="302">
        <v>0.55765854252395353</v>
      </c>
      <c r="H253" s="303">
        <v>8665.6781110800002</v>
      </c>
      <c r="I253" s="298">
        <v>1526.21263593</v>
      </c>
      <c r="J253" s="298">
        <v>3058.4049192100001</v>
      </c>
      <c r="K253" s="302">
        <v>1.0039179647771403</v>
      </c>
      <c r="L253" s="298">
        <v>3663.94357077</v>
      </c>
      <c r="M253" s="298">
        <v>4483.8057586200002</v>
      </c>
      <c r="N253" s="298">
        <v>5130.3067205400002</v>
      </c>
      <c r="O253" s="306">
        <v>6602.0939774600001</v>
      </c>
      <c r="P253" s="306" cm="1">
        <f t="array" ref="P253">INDEX($E$152:$E$676, MATCH($B253, $B$153:$B$676, 0) * MATCH("Brazil", $A$152:$A$676, 0))</f>
        <v>685177.29793137999</v>
      </c>
      <c r="Q253" s="306">
        <f t="shared" si="16"/>
        <v>683213.8349286</v>
      </c>
      <c r="R253" s="336">
        <f>INDEX('Base GDP'!$A$1:$E$76,MATCH(A253,'Base GDP'!$A$1:$A$76,0),4)</f>
        <v>496555.53410177003</v>
      </c>
      <c r="S253" s="336">
        <f>INDEX('Base GDP'!$A$1:$E$76,MATCH(A253,'Base GDP'!$A$1:$A$76,0),5)</f>
        <v>623108.57565016998</v>
      </c>
      <c r="T253" s="335">
        <f t="shared" si="17"/>
        <v>3.0735990863354264E-3</v>
      </c>
      <c r="U253" s="335">
        <f t="shared" si="18"/>
        <v>4.9083017610835637E-3</v>
      </c>
      <c r="V253" s="335">
        <f t="shared" si="19"/>
        <v>1.8347026747481373E-3</v>
      </c>
    </row>
    <row r="254" spans="1:22" x14ac:dyDescent="0.45">
      <c r="A254" s="293" t="s">
        <v>74</v>
      </c>
      <c r="B254" s="297" t="s">
        <v>4</v>
      </c>
      <c r="C254" s="293" t="str">
        <f t="shared" si="15"/>
        <v>SwedenManufacture of computer, electronic and optical products (C26)</v>
      </c>
      <c r="D254" s="297" t="s">
        <v>958</v>
      </c>
      <c r="E254" s="298">
        <v>2851.62628885</v>
      </c>
      <c r="F254" s="298">
        <v>3034.3724261299999</v>
      </c>
      <c r="G254" s="302">
        <v>6.4084883069898124E-2</v>
      </c>
      <c r="H254" s="303">
        <v>7777.5148250099992</v>
      </c>
      <c r="I254" s="298">
        <v>2476.16868342</v>
      </c>
      <c r="J254" s="298">
        <v>3034.3724261299999</v>
      </c>
      <c r="K254" s="302">
        <v>0.22543041855251467</v>
      </c>
      <c r="L254" s="298">
        <v>3568.3920878899999</v>
      </c>
      <c r="M254" s="298">
        <v>4019.4897111599998</v>
      </c>
      <c r="N254" s="298">
        <v>4346.36437811</v>
      </c>
      <c r="O254" s="306">
        <v>5158.9078843500001</v>
      </c>
      <c r="P254" s="306" cm="1">
        <f t="array" ref="P254">INDEX($E$152:$E$676, MATCH($B254, $B$153:$B$676, 0) * MATCH("Brazil", $A$152:$A$676, 0))</f>
        <v>685177.29793137999</v>
      </c>
      <c r="Q254" s="306">
        <f t="shared" si="16"/>
        <v>682325.67164253001</v>
      </c>
      <c r="R254" s="336">
        <f>INDEX('Base GDP'!$A$1:$E$76,MATCH(A254,'Base GDP'!$A$1:$A$76,0),4)</f>
        <v>490179.06760786998</v>
      </c>
      <c r="S254" s="336">
        <f>INDEX('Base GDP'!$A$1:$E$76,MATCH(A254,'Base GDP'!$A$1:$A$76,0),5)</f>
        <v>552840.30345001002</v>
      </c>
      <c r="T254" s="335">
        <f t="shared" si="17"/>
        <v>5.0515594137954256E-3</v>
      </c>
      <c r="U254" s="335">
        <f t="shared" si="18"/>
        <v>5.4886961156665739E-3</v>
      </c>
      <c r="V254" s="335">
        <f t="shared" si="19"/>
        <v>4.371367018711483E-4</v>
      </c>
    </row>
    <row r="255" spans="1:22" x14ac:dyDescent="0.45">
      <c r="A255" s="293" t="s">
        <v>111</v>
      </c>
      <c r="B255" s="297" t="s">
        <v>4</v>
      </c>
      <c r="C255" s="293" t="str">
        <f t="shared" si="15"/>
        <v>Czech RepublicManufacture of computer, electronic and optical products (C26)</v>
      </c>
      <c r="D255" s="297" t="s">
        <v>958</v>
      </c>
      <c r="E255" s="298">
        <v>1776.6165682200001</v>
      </c>
      <c r="F255" s="298">
        <v>2995.4613811300001</v>
      </c>
      <c r="G255" s="302">
        <v>0.68604832056202536</v>
      </c>
      <c r="H255" s="303">
        <v>8852.5245456399989</v>
      </c>
      <c r="I255" s="298">
        <v>2220.8671721300002</v>
      </c>
      <c r="J255" s="298">
        <v>2995.4613811300001</v>
      </c>
      <c r="K255" s="302">
        <v>0.34878007056004989</v>
      </c>
      <c r="L255" s="298">
        <v>3633.8500632</v>
      </c>
      <c r="M255" s="298">
        <v>4395.4258507200002</v>
      </c>
      <c r="N255" s="298">
        <v>5043.5542892599997</v>
      </c>
      <c r="O255" s="306">
        <v>6654.6396500999999</v>
      </c>
      <c r="P255" s="306" cm="1">
        <f t="array" ref="P255">INDEX($E$152:$E$676, MATCH($B255, $B$153:$B$676, 0) * MATCH("Brazil", $A$152:$A$676, 0))</f>
        <v>685177.29793137999</v>
      </c>
      <c r="Q255" s="306">
        <f t="shared" si="16"/>
        <v>683400.68136316002</v>
      </c>
      <c r="R255" s="336">
        <f>INDEX('Base GDP'!$A$1:$E$76,MATCH(A255,'Base GDP'!$A$1:$A$76,0),4)</f>
        <v>220291.04889604999</v>
      </c>
      <c r="S255" s="336">
        <f>INDEX('Base GDP'!$A$1:$E$76,MATCH(A255,'Base GDP'!$A$1:$A$76,0),5)</f>
        <v>247058.51905223</v>
      </c>
      <c r="T255" s="335">
        <f t="shared" si="17"/>
        <v>1.0081513448955312E-2</v>
      </c>
      <c r="U255" s="335">
        <f t="shared" si="18"/>
        <v>1.2124501484997316E-2</v>
      </c>
      <c r="V255" s="335">
        <f t="shared" si="19"/>
        <v>2.0429880360420035E-3</v>
      </c>
    </row>
    <row r="256" spans="1:22" x14ac:dyDescent="0.45">
      <c r="A256" s="293" t="s">
        <v>113</v>
      </c>
      <c r="B256" s="297" t="s">
        <v>4</v>
      </c>
      <c r="C256" s="293" t="str">
        <f t="shared" si="15"/>
        <v>HungaryManufacture of computer, electronic and optical products (C26)</v>
      </c>
      <c r="D256" s="297" t="s">
        <v>958</v>
      </c>
      <c r="E256" s="298">
        <v>1149.1722623999999</v>
      </c>
      <c r="F256" s="298">
        <v>2690.8269118799999</v>
      </c>
      <c r="G256" s="302">
        <v>1.3415348594129104</v>
      </c>
      <c r="H256" s="303">
        <v>9479.9688514600002</v>
      </c>
      <c r="I256" s="298">
        <v>1854.82694657</v>
      </c>
      <c r="J256" s="298">
        <v>2690.8269118799999</v>
      </c>
      <c r="K256" s="302">
        <v>0.45071588314799693</v>
      </c>
      <c r="L256" s="298">
        <v>3098.82467391</v>
      </c>
      <c r="M256" s="298">
        <v>3664.1788367099998</v>
      </c>
      <c r="N256" s="298">
        <v>4089.0508717600001</v>
      </c>
      <c r="O256" s="306">
        <v>5263.58645153</v>
      </c>
      <c r="P256" s="306" cm="1">
        <f t="array" ref="P256">INDEX($E$152:$E$676, MATCH($B256, $B$153:$B$676, 0) * MATCH("Brazil", $A$152:$A$676, 0))</f>
        <v>685177.29793137999</v>
      </c>
      <c r="Q256" s="306">
        <f t="shared" si="16"/>
        <v>684028.12566897995</v>
      </c>
      <c r="R256" s="336">
        <f>INDEX('Base GDP'!$A$1:$E$76,MATCH(A256,'Base GDP'!$A$1:$A$76,0),4)</f>
        <v>139098.07965294999</v>
      </c>
      <c r="S256" s="336">
        <f>INDEX('Base GDP'!$A$1:$E$76,MATCH(A256,'Base GDP'!$A$1:$A$76,0),5)</f>
        <v>167320.49519441</v>
      </c>
      <c r="T256" s="335">
        <f t="shared" si="17"/>
        <v>1.3334669689170384E-2</v>
      </c>
      <c r="U256" s="335">
        <f t="shared" si="18"/>
        <v>1.6081872748186187E-2</v>
      </c>
      <c r="V256" s="335">
        <f t="shared" si="19"/>
        <v>2.7472030590158028E-3</v>
      </c>
    </row>
    <row r="257" spans="1:22" x14ac:dyDescent="0.45">
      <c r="A257" s="293" t="s">
        <v>116</v>
      </c>
      <c r="B257" s="297" t="s">
        <v>4</v>
      </c>
      <c r="C257" s="293" t="str">
        <f t="shared" si="15"/>
        <v>DenmarkManufacture of computer, electronic and optical products (C26)</v>
      </c>
      <c r="D257" s="297" t="s">
        <v>958</v>
      </c>
      <c r="E257" s="298">
        <v>2043.45602435</v>
      </c>
      <c r="F257" s="298">
        <v>2458.2587658000002</v>
      </c>
      <c r="G257" s="302">
        <v>0.20299078448822705</v>
      </c>
      <c r="H257" s="303">
        <v>8585.6850895099997</v>
      </c>
      <c r="I257" s="298">
        <v>2186.3723109699999</v>
      </c>
      <c r="J257" s="298">
        <v>2458.2587658000002</v>
      </c>
      <c r="K257" s="302">
        <v>0.12435505767513844</v>
      </c>
      <c r="L257" s="298">
        <v>2908.9482057099999</v>
      </c>
      <c r="M257" s="298">
        <v>3177.7666502799998</v>
      </c>
      <c r="N257" s="298">
        <v>3364.3197970199999</v>
      </c>
      <c r="O257" s="306">
        <v>3764.19367427</v>
      </c>
      <c r="P257" s="306" cm="1">
        <f t="array" ref="P257">INDEX($E$152:$E$676, MATCH($B257, $B$153:$B$676, 0) * MATCH("Brazil", $A$152:$A$676, 0))</f>
        <v>685177.29793137999</v>
      </c>
      <c r="Q257" s="306">
        <f t="shared" si="16"/>
        <v>683133.84190702997</v>
      </c>
      <c r="R257" s="336">
        <f>INDEX('Base GDP'!$A$1:$E$76,MATCH(A257,'Base GDP'!$A$1:$A$76,0),4)</f>
        <v>315318.76572541997</v>
      </c>
      <c r="S257" s="336">
        <f>INDEX('Base GDP'!$A$1:$E$76,MATCH(A257,'Base GDP'!$A$1:$A$76,0),5)</f>
        <v>361238.79673869</v>
      </c>
      <c r="T257" s="335">
        <f t="shared" si="17"/>
        <v>6.9338477395725186E-3</v>
      </c>
      <c r="U257" s="335">
        <f t="shared" si="18"/>
        <v>6.8050795982975091E-3</v>
      </c>
      <c r="V257" s="335">
        <f t="shared" si="19"/>
        <v>-1.2876814127500951E-4</v>
      </c>
    </row>
    <row r="258" spans="1:22" x14ac:dyDescent="0.45">
      <c r="A258" s="293" t="s">
        <v>77</v>
      </c>
      <c r="B258" s="297" t="s">
        <v>4</v>
      </c>
      <c r="C258" s="293" t="str">
        <f t="shared" ref="C258:C321" si="20">A258&amp;B258</f>
        <v>SpainManufacture of computer, electronic and optical products (C26)</v>
      </c>
      <c r="D258" s="297" t="s">
        <v>958</v>
      </c>
      <c r="E258" s="298">
        <v>1869.8420023799999</v>
      </c>
      <c r="F258" s="298">
        <v>2044.4606497</v>
      </c>
      <c r="G258" s="302">
        <v>9.338684610664405E-2</v>
      </c>
      <c r="H258" s="303">
        <v>8759.2991114799988</v>
      </c>
      <c r="I258" s="298">
        <v>1601.1100827400001</v>
      </c>
      <c r="J258" s="298">
        <v>2044.4606497</v>
      </c>
      <c r="K258" s="302">
        <v>0.27690198927564591</v>
      </c>
      <c r="L258" s="298">
        <v>2374.00723483</v>
      </c>
      <c r="M258" s="298">
        <v>2531.9933527100002</v>
      </c>
      <c r="N258" s="298">
        <v>2620.5187844400002</v>
      </c>
      <c r="O258" s="306">
        <v>2807.3611367600001</v>
      </c>
      <c r="P258" s="306" cm="1">
        <f t="array" ref="P258">INDEX($E$152:$E$676, MATCH($B258, $B$153:$B$676, 0) * MATCH("Brazil", $A$152:$A$676, 0))</f>
        <v>685177.29793137999</v>
      </c>
      <c r="Q258" s="306">
        <f t="shared" si="16"/>
        <v>683307.45592899993</v>
      </c>
      <c r="R258" s="336">
        <f>INDEX('Base GDP'!$A$1:$E$76,MATCH(A258,'Base GDP'!$A$1:$A$76,0),4)</f>
        <v>1259732.1048611</v>
      </c>
      <c r="S258" s="336">
        <f>INDEX('Base GDP'!$A$1:$E$76,MATCH(A258,'Base GDP'!$A$1:$A$76,0),5)</f>
        <v>1317888.2673469</v>
      </c>
      <c r="T258" s="335">
        <f t="shared" si="17"/>
        <v>1.2709925202045564E-3</v>
      </c>
      <c r="U258" s="335">
        <f t="shared" si="18"/>
        <v>1.551315616319884E-3</v>
      </c>
      <c r="V258" s="335">
        <f t="shared" si="19"/>
        <v>2.8032309611532758E-4</v>
      </c>
    </row>
    <row r="259" spans="1:22" x14ac:dyDescent="0.45">
      <c r="A259" s="293" t="s">
        <v>108</v>
      </c>
      <c r="B259" s="297" t="s">
        <v>4</v>
      </c>
      <c r="C259" s="293" t="str">
        <f t="shared" si="20"/>
        <v>TurkeyManufacture of computer, electronic and optical products (C26)</v>
      </c>
      <c r="D259" s="297" t="s">
        <v>958</v>
      </c>
      <c r="E259" s="298">
        <v>668.12405607999995</v>
      </c>
      <c r="F259" s="298">
        <v>2041.0246921200001</v>
      </c>
      <c r="G259" s="302">
        <v>2.0548588597378861</v>
      </c>
      <c r="H259" s="303">
        <v>9961.01705778</v>
      </c>
      <c r="I259" s="298">
        <v>1081.86417413</v>
      </c>
      <c r="J259" s="298">
        <v>2041.0246921200001</v>
      </c>
      <c r="K259" s="302">
        <v>0.88658127418012134</v>
      </c>
      <c r="L259" s="298">
        <v>2992.7459646299999</v>
      </c>
      <c r="M259" s="298">
        <v>3598.1171412100002</v>
      </c>
      <c r="N259" s="298">
        <v>4100.7607318800001</v>
      </c>
      <c r="O259" s="306">
        <v>5667.4467598700003</v>
      </c>
      <c r="P259" s="306" cm="1">
        <f t="array" ref="P259">INDEX($E$152:$E$676, MATCH($B259, $B$153:$B$676, 0) * MATCH("Brazil", $A$152:$A$676, 0))</f>
        <v>685177.29793137999</v>
      </c>
      <c r="Q259" s="306">
        <f t="shared" ref="Q259:Q322" si="21">P259-E259</f>
        <v>684509.17387529998</v>
      </c>
      <c r="R259" s="336">
        <f>INDEX('Base GDP'!$A$1:$E$76,MATCH(A259,'Base GDP'!$A$1:$A$76,0),4)</f>
        <v>659235.83503077005</v>
      </c>
      <c r="S259" s="336">
        <f>INDEX('Base GDP'!$A$1:$E$76,MATCH(A259,'Base GDP'!$A$1:$A$76,0),5)</f>
        <v>865088.75381619995</v>
      </c>
      <c r="T259" s="335">
        <f t="shared" ref="T259:T322" si="22">I259/R259</f>
        <v>1.641088236775696E-3</v>
      </c>
      <c r="U259" s="335">
        <f t="shared" ref="U259:U322" si="23">J259/S259</f>
        <v>2.3593240382750878E-3</v>
      </c>
      <c r="V259" s="335">
        <f t="shared" ref="V259:V322" si="24">U259-T259</f>
        <v>7.1823580149939182E-4</v>
      </c>
    </row>
    <row r="260" spans="1:22" x14ac:dyDescent="0.45">
      <c r="A260" s="293" t="s">
        <v>118</v>
      </c>
      <c r="B260" s="297" t="s">
        <v>4</v>
      </c>
      <c r="C260" s="293" t="str">
        <f t="shared" si="20"/>
        <v>BelgiumManufacture of computer, electronic and optical products (C26)</v>
      </c>
      <c r="D260" s="297" t="s">
        <v>958</v>
      </c>
      <c r="E260" s="298">
        <v>1262.9705017199999</v>
      </c>
      <c r="F260" s="298">
        <v>1689.54438325</v>
      </c>
      <c r="G260" s="302">
        <v>0.33775442969496328</v>
      </c>
      <c r="H260" s="303">
        <v>9366.1706121400002</v>
      </c>
      <c r="I260" s="298">
        <v>1466.4496318500001</v>
      </c>
      <c r="J260" s="298">
        <v>1689.54438325</v>
      </c>
      <c r="K260" s="302">
        <v>0.1521325700894034</v>
      </c>
      <c r="L260" s="298">
        <v>2070.3861327099999</v>
      </c>
      <c r="M260" s="298">
        <v>2138.6802990299998</v>
      </c>
      <c r="N260" s="298">
        <v>2200.7177182599999</v>
      </c>
      <c r="O260" s="306">
        <v>2326.1884123200002</v>
      </c>
      <c r="P260" s="306" cm="1">
        <f t="array" ref="P260">INDEX($E$152:$E$676, MATCH($B260, $B$153:$B$676, 0) * MATCH("Brazil", $A$152:$A$676, 0))</f>
        <v>685177.29793137999</v>
      </c>
      <c r="Q260" s="306">
        <f t="shared" si="21"/>
        <v>683914.32742966001</v>
      </c>
      <c r="R260" s="336">
        <f>INDEX('Base GDP'!$A$1:$E$76,MATCH(A260,'Base GDP'!$A$1:$A$76,0),4)</f>
        <v>500331.50984029</v>
      </c>
      <c r="S260" s="336">
        <f>INDEX('Base GDP'!$A$1:$E$76,MATCH(A260,'Base GDP'!$A$1:$A$76,0),5)</f>
        <v>542439.84157398995</v>
      </c>
      <c r="T260" s="335">
        <f t="shared" si="22"/>
        <v>2.9309559822008873E-3</v>
      </c>
      <c r="U260" s="335">
        <f t="shared" si="23"/>
        <v>3.1147129206945292E-3</v>
      </c>
      <c r="V260" s="335">
        <f t="shared" si="24"/>
        <v>1.8375693849364194E-4</v>
      </c>
    </row>
    <row r="261" spans="1:22" x14ac:dyDescent="0.45">
      <c r="A261" s="293" t="s">
        <v>151</v>
      </c>
      <c r="B261" s="297" t="s">
        <v>4</v>
      </c>
      <c r="C261" s="293" t="str">
        <f t="shared" si="20"/>
        <v>NorwayManufacture of computer, electronic and optical products (C26)</v>
      </c>
      <c r="D261" s="297" t="s">
        <v>958</v>
      </c>
      <c r="E261" s="298">
        <v>1098.00440224</v>
      </c>
      <c r="F261" s="298">
        <v>1101.40760826</v>
      </c>
      <c r="G261" s="302">
        <v>3.0994466079163896E-3</v>
      </c>
      <c r="H261" s="303">
        <v>9531.1367116199999</v>
      </c>
      <c r="I261" s="298">
        <v>1193.3070413600001</v>
      </c>
      <c r="J261" s="298">
        <v>1101.40760826</v>
      </c>
      <c r="K261" s="302">
        <v>-7.7012394894832137E-2</v>
      </c>
      <c r="L261" s="298">
        <v>1272.24022238</v>
      </c>
      <c r="M261" s="298">
        <v>1393.9903903699999</v>
      </c>
      <c r="N261" s="298">
        <v>1479.5774349200001</v>
      </c>
      <c r="O261" s="306">
        <v>1688.1541041</v>
      </c>
      <c r="P261" s="306" cm="1">
        <f t="array" ref="P261">INDEX($E$152:$E$676, MATCH($B261, $B$153:$B$676, 0) * MATCH("Brazil", $A$152:$A$676, 0))</f>
        <v>685177.29793137999</v>
      </c>
      <c r="Q261" s="306">
        <f t="shared" si="21"/>
        <v>684079.29352913995</v>
      </c>
      <c r="R261" s="336">
        <f>INDEX('Base GDP'!$A$1:$E$76,MATCH(A261,'Base GDP'!$A$1:$A$76,0),4)</f>
        <v>386512.35690163</v>
      </c>
      <c r="S261" s="336">
        <f>INDEX('Base GDP'!$A$1:$E$76,MATCH(A261,'Base GDP'!$A$1:$A$76,0),5)</f>
        <v>418559.21595058002</v>
      </c>
      <c r="T261" s="335">
        <f t="shared" si="22"/>
        <v>3.0873709987587921E-3</v>
      </c>
      <c r="U261" s="335">
        <f t="shared" si="23"/>
        <v>2.6314260116304428E-3</v>
      </c>
      <c r="V261" s="335">
        <f t="shared" si="24"/>
        <v>-4.5594498712834934E-4</v>
      </c>
    </row>
    <row r="262" spans="1:22" x14ac:dyDescent="0.45">
      <c r="A262" s="293" t="s">
        <v>162</v>
      </c>
      <c r="B262" s="297" t="s">
        <v>4</v>
      </c>
      <c r="C262" s="293" t="str">
        <f t="shared" si="20"/>
        <v>RomaniaManufacture of computer, electronic and optical products (C26)</v>
      </c>
      <c r="D262" s="297" t="s">
        <v>958</v>
      </c>
      <c r="E262" s="298">
        <v>341.89957530999999</v>
      </c>
      <c r="F262" s="298">
        <v>891.68853798999999</v>
      </c>
      <c r="G262" s="302">
        <v>1.6080422509490013</v>
      </c>
      <c r="H262" s="303">
        <v>10287.241538549999</v>
      </c>
      <c r="I262" s="298">
        <v>568.18441078000001</v>
      </c>
      <c r="J262" s="298">
        <v>891.68853798999999</v>
      </c>
      <c r="K262" s="302">
        <v>0.56936466589411627</v>
      </c>
      <c r="L262" s="298">
        <v>1070.5223305500001</v>
      </c>
      <c r="M262" s="298">
        <v>1198.5038304699999</v>
      </c>
      <c r="N262" s="298">
        <v>1294.47050246</v>
      </c>
      <c r="O262" s="306">
        <v>1496.0881053400001</v>
      </c>
      <c r="P262" s="306" cm="1">
        <f t="array" ref="P262">INDEX($E$152:$E$676, MATCH($B262, $B$153:$B$676, 0) * MATCH("Brazil", $A$152:$A$676, 0))</f>
        <v>685177.29793137999</v>
      </c>
      <c r="Q262" s="306">
        <f t="shared" si="21"/>
        <v>684835.39835607004</v>
      </c>
      <c r="R262" s="336">
        <f>INDEX('Base GDP'!$A$1:$E$76,MATCH(A262,'Base GDP'!$A$1:$A$76,0),4)</f>
        <v>204518.17392167001</v>
      </c>
      <c r="S262" s="336">
        <f>INDEX('Base GDP'!$A$1:$E$76,MATCH(A262,'Base GDP'!$A$1:$A$76,0),5)</f>
        <v>254974.25152873</v>
      </c>
      <c r="T262" s="335">
        <f t="shared" si="22"/>
        <v>2.7781609814177852E-3</v>
      </c>
      <c r="U262" s="335">
        <f t="shared" si="23"/>
        <v>3.4971709207646255E-3</v>
      </c>
      <c r="V262" s="335">
        <f t="shared" si="24"/>
        <v>7.1900993934684038E-4</v>
      </c>
    </row>
    <row r="263" spans="1:22" x14ac:dyDescent="0.45">
      <c r="A263" s="293" t="s">
        <v>150</v>
      </c>
      <c r="B263" s="297" t="s">
        <v>4</v>
      </c>
      <c r="C263" s="293" t="str">
        <f t="shared" si="20"/>
        <v>PhilippinesManufacture of computer, electronic and optical products (C26)</v>
      </c>
      <c r="D263" s="297" t="s">
        <v>958</v>
      </c>
      <c r="E263" s="298">
        <v>346.22232993</v>
      </c>
      <c r="F263" s="298">
        <v>606.98637128999997</v>
      </c>
      <c r="G263" s="302">
        <v>0.75316933316439116</v>
      </c>
      <c r="H263" s="303">
        <v>10282.918783929999</v>
      </c>
      <c r="I263" s="298">
        <v>527.21973649999995</v>
      </c>
      <c r="J263" s="298">
        <v>606.98637128999997</v>
      </c>
      <c r="K263" s="302">
        <v>0.1512967540243062</v>
      </c>
      <c r="L263" s="298">
        <v>1025.0462816100001</v>
      </c>
      <c r="M263" s="298">
        <v>1756.31765395</v>
      </c>
      <c r="N263" s="298">
        <v>2429.6381387500001</v>
      </c>
      <c r="O263" s="306">
        <v>4484.6595868900004</v>
      </c>
      <c r="P263" s="306" cm="1">
        <f t="array" ref="P263">INDEX($E$152:$E$676, MATCH($B263, $B$153:$B$676, 0) * MATCH("Brazil", $A$152:$A$676, 0))</f>
        <v>685177.29793137999</v>
      </c>
      <c r="Q263" s="306">
        <f t="shared" si="21"/>
        <v>684831.07560144993</v>
      </c>
      <c r="R263" s="336">
        <f>INDEX('Base GDP'!$A$1:$E$76,MATCH(A263,'Base GDP'!$A$1:$A$76,0),4)</f>
        <v>291518.00825125998</v>
      </c>
      <c r="S263" s="336">
        <f>INDEX('Base GDP'!$A$1:$E$76,MATCH(A263,'Base GDP'!$A$1:$A$76,0),5)</f>
        <v>360513.15606205998</v>
      </c>
      <c r="T263" s="335">
        <f t="shared" si="22"/>
        <v>1.8085323087333534E-3</v>
      </c>
      <c r="U263" s="335">
        <f t="shared" si="23"/>
        <v>1.6836732892641267E-3</v>
      </c>
      <c r="V263" s="335">
        <f t="shared" si="24"/>
        <v>-1.2485901946922675E-4</v>
      </c>
    </row>
    <row r="264" spans="1:22" x14ac:dyDescent="0.45">
      <c r="A264" s="293" t="s">
        <v>157</v>
      </c>
      <c r="B264" s="297" t="s">
        <v>4</v>
      </c>
      <c r="C264" s="293" t="str">
        <f t="shared" si="20"/>
        <v>SlovakiaManufacture of computer, electronic and optical products (C26)</v>
      </c>
      <c r="D264" s="297" t="s">
        <v>958</v>
      </c>
      <c r="E264" s="298">
        <v>590.46599708999997</v>
      </c>
      <c r="F264" s="298">
        <v>578.24188113000002</v>
      </c>
      <c r="G264" s="302">
        <v>-2.0702489254663559E-2</v>
      </c>
      <c r="H264" s="303">
        <v>10038.67511677</v>
      </c>
      <c r="I264" s="298">
        <v>808.89873</v>
      </c>
      <c r="J264" s="298">
        <v>578.24188113000002</v>
      </c>
      <c r="K264" s="302">
        <v>-0.28514922859379443</v>
      </c>
      <c r="L264" s="298">
        <v>538.55639671999995</v>
      </c>
      <c r="M264" s="298">
        <v>679.16984620000005</v>
      </c>
      <c r="N264" s="298">
        <v>789.14149280000004</v>
      </c>
      <c r="O264" s="306">
        <v>1140.54973339</v>
      </c>
      <c r="P264" s="306" cm="1">
        <f t="array" ref="P264">INDEX($E$152:$E$676, MATCH($B264, $B$153:$B$676, 0) * MATCH("Brazil", $A$152:$A$676, 0))</f>
        <v>685177.29793137999</v>
      </c>
      <c r="Q264" s="306">
        <f t="shared" si="21"/>
        <v>684586.83193429001</v>
      </c>
      <c r="R264" s="336">
        <f>INDEX('Base GDP'!$A$1:$E$76,MATCH(A264,'Base GDP'!$A$1:$A$76,0),4)</f>
        <v>94460.171576160006</v>
      </c>
      <c r="S264" s="336">
        <f>INDEX('Base GDP'!$A$1:$E$76,MATCH(A264,'Base GDP'!$A$1:$A$76,0),5)</f>
        <v>107076.6714533</v>
      </c>
      <c r="T264" s="335">
        <f t="shared" si="22"/>
        <v>8.5633840856176365E-3</v>
      </c>
      <c r="U264" s="335">
        <f t="shared" si="23"/>
        <v>5.4002601433328279E-3</v>
      </c>
      <c r="V264" s="335">
        <f t="shared" si="24"/>
        <v>-3.1631239422848087E-3</v>
      </c>
    </row>
    <row r="265" spans="1:22" x14ac:dyDescent="0.45">
      <c r="A265" s="293" t="s">
        <v>163</v>
      </c>
      <c r="B265" s="297" t="s">
        <v>4</v>
      </c>
      <c r="C265" s="293" t="str">
        <f t="shared" si="20"/>
        <v>New ZealandManufacture of computer, electronic and optical products (C26)</v>
      </c>
      <c r="D265" s="297" t="s">
        <v>958</v>
      </c>
      <c r="E265" s="298">
        <v>512.98889799999995</v>
      </c>
      <c r="F265" s="298">
        <v>568.82937728000002</v>
      </c>
      <c r="G265" s="302">
        <v>0.1088531925304943</v>
      </c>
      <c r="H265" s="303">
        <v>10116.15221586</v>
      </c>
      <c r="I265" s="298">
        <v>522.84925616999999</v>
      </c>
      <c r="J265" s="298">
        <v>568.82937728000002</v>
      </c>
      <c r="K265" s="302">
        <v>8.7941448835206826E-2</v>
      </c>
      <c r="L265" s="298">
        <v>545.72931114000005</v>
      </c>
      <c r="M265" s="298">
        <v>551.19255768000005</v>
      </c>
      <c r="N265" s="298">
        <v>556.44959850999999</v>
      </c>
      <c r="O265" s="306">
        <v>566.65448474000004</v>
      </c>
      <c r="P265" s="306" cm="1">
        <f t="array" ref="P265">INDEX($E$152:$E$676, MATCH($B265, $B$153:$B$676, 0) * MATCH("Brazil", $A$152:$A$676, 0))</f>
        <v>685177.29793137999</v>
      </c>
      <c r="Q265" s="306">
        <f t="shared" si="21"/>
        <v>684664.30903338001</v>
      </c>
      <c r="R265" s="336">
        <f>INDEX('Base GDP'!$A$1:$E$76,MATCH(A265,'Base GDP'!$A$1:$A$76,0),4)</f>
        <v>180884.85070677</v>
      </c>
      <c r="S265" s="336">
        <f>INDEX('Base GDP'!$A$1:$E$76,MATCH(A265,'Base GDP'!$A$1:$A$76,0),5)</f>
        <v>220909.49174857</v>
      </c>
      <c r="T265" s="335">
        <f t="shared" si="22"/>
        <v>2.8905088188815983E-3</v>
      </c>
      <c r="U265" s="335">
        <f t="shared" si="23"/>
        <v>2.5749431261533023E-3</v>
      </c>
      <c r="V265" s="335">
        <f t="shared" si="24"/>
        <v>-3.1556569272829602E-4</v>
      </c>
    </row>
    <row r="266" spans="1:22" x14ac:dyDescent="0.45">
      <c r="A266" s="293" t="s">
        <v>161</v>
      </c>
      <c r="B266" s="297" t="s">
        <v>4</v>
      </c>
      <c r="C266" s="293" t="str">
        <f t="shared" si="20"/>
        <v>PortugalManufacture of computer, electronic and optical products (C26)</v>
      </c>
      <c r="D266" s="297" t="s">
        <v>958</v>
      </c>
      <c r="E266" s="298">
        <v>533.90306335000002</v>
      </c>
      <c r="F266" s="298">
        <v>564.70295692000002</v>
      </c>
      <c r="G266" s="302">
        <v>5.7688175409117637E-2</v>
      </c>
      <c r="H266" s="303">
        <v>10095.238050509999</v>
      </c>
      <c r="I266" s="298">
        <v>445.19061968</v>
      </c>
      <c r="J266" s="298">
        <v>564.70295692000002</v>
      </c>
      <c r="K266" s="302">
        <v>0.2684520561684447</v>
      </c>
      <c r="L266" s="298">
        <v>707.72604578999994</v>
      </c>
      <c r="M266" s="298">
        <v>770.81346427999995</v>
      </c>
      <c r="N266" s="298">
        <v>816.27926415000002</v>
      </c>
      <c r="O266" s="306">
        <v>923.01092546999996</v>
      </c>
      <c r="P266" s="306" cm="1">
        <f t="array" ref="P266">INDEX($E$152:$E$676, MATCH($B266, $B$153:$B$676, 0) * MATCH("Brazil", $A$152:$A$676, 0))</f>
        <v>685177.29793137999</v>
      </c>
      <c r="Q266" s="306">
        <f t="shared" si="21"/>
        <v>684643.39486802998</v>
      </c>
      <c r="R266" s="336">
        <f>INDEX('Base GDP'!$A$1:$E$76,MATCH(A266,'Base GDP'!$A$1:$A$76,0),4)</f>
        <v>215192.52938671</v>
      </c>
      <c r="S266" s="336">
        <f>INDEX('Base GDP'!$A$1:$E$76,MATCH(A266,'Base GDP'!$A$1:$A$76,0),5)</f>
        <v>232686.90641277001</v>
      </c>
      <c r="T266" s="335">
        <f t="shared" si="22"/>
        <v>2.0688014632700086E-3</v>
      </c>
      <c r="U266" s="335">
        <f t="shared" si="23"/>
        <v>2.4268789577624843E-3</v>
      </c>
      <c r="V266" s="335">
        <f t="shared" si="24"/>
        <v>3.5807749449247566E-4</v>
      </c>
    </row>
    <row r="267" spans="1:22" x14ac:dyDescent="0.45">
      <c r="A267" s="293" t="s">
        <v>142</v>
      </c>
      <c r="B267" s="297" t="s">
        <v>4</v>
      </c>
      <c r="C267" s="293" t="str">
        <f t="shared" si="20"/>
        <v>ArgentinaManufacture of computer, electronic and optical products (C26)</v>
      </c>
      <c r="D267" s="297" t="s">
        <v>958</v>
      </c>
      <c r="E267" s="298">
        <v>523.22956599999998</v>
      </c>
      <c r="F267" s="298">
        <v>515.60966852000001</v>
      </c>
      <c r="G267" s="302">
        <v>-1.4563201269860881E-2</v>
      </c>
      <c r="H267" s="303">
        <v>10105.91154786</v>
      </c>
      <c r="I267" s="298">
        <v>557.57341395000003</v>
      </c>
      <c r="J267" s="298">
        <v>515.60966852000001</v>
      </c>
      <c r="K267" s="302">
        <v>-7.5261381515157932E-2</v>
      </c>
      <c r="L267" s="298">
        <v>488.47347123999998</v>
      </c>
      <c r="M267" s="298">
        <v>542.87068269999997</v>
      </c>
      <c r="N267" s="298">
        <v>588.29627805999996</v>
      </c>
      <c r="O267" s="306">
        <v>719.27876988000003</v>
      </c>
      <c r="P267" s="306" cm="1">
        <f t="array" ref="P267">INDEX($E$152:$E$676, MATCH($B267, $B$153:$B$676, 0) * MATCH("Brazil", $A$152:$A$676, 0))</f>
        <v>685177.29793137999</v>
      </c>
      <c r="Q267" s="306">
        <f t="shared" si="21"/>
        <v>684654.06836537994</v>
      </c>
      <c r="R267" s="336">
        <f>INDEX('Base GDP'!$A$1:$E$76,MATCH(A267,'Base GDP'!$A$1:$A$76,0),4)</f>
        <v>464976.94374428003</v>
      </c>
      <c r="S267" s="336">
        <f>INDEX('Base GDP'!$A$1:$E$76,MATCH(A267,'Base GDP'!$A$1:$A$76,0),5)</f>
        <v>445673.70595729002</v>
      </c>
      <c r="T267" s="335">
        <f t="shared" si="22"/>
        <v>1.1991420681207897E-3</v>
      </c>
      <c r="U267" s="335">
        <f t="shared" si="23"/>
        <v>1.1569218951620452E-3</v>
      </c>
      <c r="V267" s="335">
        <f t="shared" si="24"/>
        <v>-4.222017295874448E-5</v>
      </c>
    </row>
    <row r="268" spans="1:22" x14ac:dyDescent="0.45">
      <c r="A268" s="293" t="s">
        <v>156</v>
      </c>
      <c r="B268" s="297" t="s">
        <v>4</v>
      </c>
      <c r="C268" s="293" t="str">
        <f t="shared" si="20"/>
        <v>GreeceManufacture of computer, electronic and optical products (C26)</v>
      </c>
      <c r="D268" s="297" t="s">
        <v>958</v>
      </c>
      <c r="E268" s="298">
        <v>257.25560679</v>
      </c>
      <c r="F268" s="298">
        <v>403.96456210999997</v>
      </c>
      <c r="G268" s="302">
        <v>0.57028477299528713</v>
      </c>
      <c r="H268" s="303">
        <v>10371.885507069999</v>
      </c>
      <c r="I268" s="298">
        <v>210.74049436999999</v>
      </c>
      <c r="J268" s="298">
        <v>403.96456210999997</v>
      </c>
      <c r="K268" s="302">
        <v>0.91688153393411809</v>
      </c>
      <c r="L268" s="298">
        <v>541.49827104999997</v>
      </c>
      <c r="M268" s="298">
        <v>575.95446556000002</v>
      </c>
      <c r="N268" s="298">
        <v>596.84771868999997</v>
      </c>
      <c r="O268" s="306">
        <v>642.86800212000003</v>
      </c>
      <c r="P268" s="306" cm="1">
        <f t="array" ref="P268">INDEX($E$152:$E$676, MATCH($B268, $B$153:$B$676, 0) * MATCH("Brazil", $A$152:$A$676, 0))</f>
        <v>685177.29793137999</v>
      </c>
      <c r="Q268" s="306">
        <f t="shared" si="21"/>
        <v>684920.04232459003</v>
      </c>
      <c r="R268" s="336">
        <f>INDEX('Base GDP'!$A$1:$E$76,MATCH(A268,'Base GDP'!$A$1:$A$76,0),4)</f>
        <v>196841.83448053</v>
      </c>
      <c r="S268" s="336">
        <f>INDEX('Base GDP'!$A$1:$E$76,MATCH(A268,'Base GDP'!$A$1:$A$76,0),5)</f>
        <v>201121.93838619001</v>
      </c>
      <c r="T268" s="335">
        <f t="shared" si="22"/>
        <v>1.0706082623449882E-3</v>
      </c>
      <c r="U268" s="335">
        <f t="shared" si="23"/>
        <v>2.0085554333427115E-3</v>
      </c>
      <c r="V268" s="335">
        <f t="shared" si="24"/>
        <v>9.3794717099772332E-4</v>
      </c>
    </row>
    <row r="269" spans="1:22" x14ac:dyDescent="0.45">
      <c r="A269" s="293" t="s">
        <v>145</v>
      </c>
      <c r="B269" s="297" t="s">
        <v>4</v>
      </c>
      <c r="C269" s="293" t="str">
        <f t="shared" si="20"/>
        <v>South AfricaManufacture of computer, electronic and optical products (C26)</v>
      </c>
      <c r="D269" s="297" t="s">
        <v>958</v>
      </c>
      <c r="E269" s="298">
        <v>383.21183127</v>
      </c>
      <c r="F269" s="298">
        <v>388.43431720000001</v>
      </c>
      <c r="G269" s="302">
        <v>1.3628195958074185E-2</v>
      </c>
      <c r="H269" s="303">
        <v>10245.929282589999</v>
      </c>
      <c r="I269" s="298">
        <v>485.63792854000002</v>
      </c>
      <c r="J269" s="298">
        <v>388.43431720000001</v>
      </c>
      <c r="K269" s="302">
        <v>-0.20015654797027194</v>
      </c>
      <c r="L269" s="298">
        <v>468.95543961999999</v>
      </c>
      <c r="M269" s="298">
        <v>502.15254192999998</v>
      </c>
      <c r="N269" s="298">
        <v>531.65180051000004</v>
      </c>
      <c r="O269" s="306">
        <v>601.02125030000002</v>
      </c>
      <c r="P269" s="306" cm="1">
        <f t="array" ref="P269">INDEX($E$152:$E$676, MATCH($B269, $B$153:$B$676, 0) * MATCH("Brazil", $A$152:$A$676, 0))</f>
        <v>685177.29793137999</v>
      </c>
      <c r="Q269" s="306">
        <f t="shared" si="21"/>
        <v>684794.08610010997</v>
      </c>
      <c r="R269" s="336">
        <f>INDEX('Base GDP'!$A$1:$E$76,MATCH(A269,'Base GDP'!$A$1:$A$76,0),4)</f>
        <v>375376.48654821003</v>
      </c>
      <c r="S269" s="336">
        <f>INDEX('Base GDP'!$A$1:$E$76,MATCH(A269,'Base GDP'!$A$1:$A$76,0),5)</f>
        <v>383209.69906191999</v>
      </c>
      <c r="T269" s="335">
        <f t="shared" si="22"/>
        <v>1.2937356119604177E-3</v>
      </c>
      <c r="U269" s="335">
        <f t="shared" si="23"/>
        <v>1.0136338358628962E-3</v>
      </c>
      <c r="V269" s="335">
        <f t="shared" si="24"/>
        <v>-2.8010177609752158E-4</v>
      </c>
    </row>
    <row r="270" spans="1:22" x14ac:dyDescent="0.45">
      <c r="A270" s="293" t="s">
        <v>146</v>
      </c>
      <c r="B270" s="297" t="s">
        <v>4</v>
      </c>
      <c r="C270" s="293" t="str">
        <f t="shared" si="20"/>
        <v>EgyptManufacture of computer, electronic and optical products (C26)</v>
      </c>
      <c r="D270" s="297" t="s">
        <v>958</v>
      </c>
      <c r="E270" s="298">
        <v>264.71798632999997</v>
      </c>
      <c r="F270" s="298">
        <v>348.77080776999998</v>
      </c>
      <c r="G270" s="302">
        <v>0.31751836210788853</v>
      </c>
      <c r="H270" s="303">
        <v>10364.423127529999</v>
      </c>
      <c r="I270" s="298">
        <v>303.00847931999999</v>
      </c>
      <c r="J270" s="298">
        <v>348.77080776999998</v>
      </c>
      <c r="K270" s="302">
        <v>0.15102656055268837</v>
      </c>
      <c r="L270" s="298">
        <v>378.45537107000001</v>
      </c>
      <c r="M270" s="298">
        <v>449.71411662999998</v>
      </c>
      <c r="N270" s="298">
        <v>502.62266684000002</v>
      </c>
      <c r="O270" s="306">
        <v>654.24813302999996</v>
      </c>
      <c r="P270" s="306" cm="1">
        <f t="array" ref="P270">INDEX($E$152:$E$676, MATCH($B270, $B$153:$B$676, 0) * MATCH("Brazil", $A$152:$A$676, 0))</f>
        <v>685177.29793137999</v>
      </c>
      <c r="Q270" s="306">
        <f t="shared" si="21"/>
        <v>684912.57994504995</v>
      </c>
      <c r="R270" s="336">
        <f>INDEX('Base GDP'!$A$1:$E$76,MATCH(A270,'Base GDP'!$A$1:$A$76,0),4)</f>
        <v>276522.47435759002</v>
      </c>
      <c r="S270" s="336">
        <f>INDEX('Base GDP'!$A$1:$E$76,MATCH(A270,'Base GDP'!$A$1:$A$76,0),5)</f>
        <v>357883.01385108999</v>
      </c>
      <c r="T270" s="335">
        <f t="shared" si="22"/>
        <v>1.0957824676780489E-3</v>
      </c>
      <c r="U270" s="335">
        <f t="shared" si="23"/>
        <v>9.7453859018611748E-4</v>
      </c>
      <c r="V270" s="335">
        <f t="shared" si="24"/>
        <v>-1.2124387749193138E-4</v>
      </c>
    </row>
    <row r="271" spans="1:22" x14ac:dyDescent="0.45">
      <c r="A271" s="293" t="s">
        <v>160</v>
      </c>
      <c r="B271" s="297" t="s">
        <v>4</v>
      </c>
      <c r="C271" s="293" t="str">
        <f t="shared" si="20"/>
        <v>BulgariaManufacture of computer, electronic and optical products (C26)</v>
      </c>
      <c r="D271" s="297" t="s">
        <v>958</v>
      </c>
      <c r="E271" s="298">
        <v>106.65045666</v>
      </c>
      <c r="F271" s="298">
        <v>345.7287139</v>
      </c>
      <c r="G271" s="302">
        <v>2.2416993300101637</v>
      </c>
      <c r="H271" s="303">
        <v>10522.4906572</v>
      </c>
      <c r="I271" s="298">
        <v>195.43800680000001</v>
      </c>
      <c r="J271" s="298">
        <v>345.7287139</v>
      </c>
      <c r="K271" s="302">
        <v>0.76899426862145015</v>
      </c>
      <c r="L271" s="298">
        <v>437.38697869999999</v>
      </c>
      <c r="M271" s="298">
        <v>499.09029484000001</v>
      </c>
      <c r="N271" s="298">
        <v>538.52402375999998</v>
      </c>
      <c r="O271" s="306">
        <v>624.13729325999998</v>
      </c>
      <c r="P271" s="306" cm="1">
        <f t="array" ref="P271">INDEX($E$152:$E$676, MATCH($B271, $B$153:$B$676, 0) * MATCH("Brazil", $A$152:$A$676, 0))</f>
        <v>685177.29793137999</v>
      </c>
      <c r="Q271" s="306">
        <f t="shared" si="21"/>
        <v>685070.64747472003</v>
      </c>
      <c r="R271" s="336">
        <f>INDEX('Base GDP'!$A$1:$E$76,MATCH(A271,'Base GDP'!$A$1:$A$76,0),4)</f>
        <v>60854.013563</v>
      </c>
      <c r="S271" s="336">
        <f>INDEX('Base GDP'!$A$1:$E$76,MATCH(A271,'Base GDP'!$A$1:$A$76,0),5)</f>
        <v>70836.911882080007</v>
      </c>
      <c r="T271" s="335">
        <f t="shared" si="22"/>
        <v>3.21158778784032E-3</v>
      </c>
      <c r="U271" s="335">
        <f t="shared" si="23"/>
        <v>4.8806293881856928E-3</v>
      </c>
      <c r="V271" s="335">
        <f t="shared" si="24"/>
        <v>1.6690416003453728E-3</v>
      </c>
    </row>
    <row r="272" spans="1:22" x14ac:dyDescent="0.45">
      <c r="A272" s="293" t="s">
        <v>107</v>
      </c>
      <c r="B272" s="297" t="s">
        <v>4</v>
      </c>
      <c r="C272" s="293" t="str">
        <f t="shared" si="20"/>
        <v>IranManufacture of computer, electronic and optical products (C26)</v>
      </c>
      <c r="D272" s="297" t="s">
        <v>958</v>
      </c>
      <c r="E272" s="298">
        <v>305.38401531</v>
      </c>
      <c r="F272" s="298">
        <v>343.29624360000003</v>
      </c>
      <c r="G272" s="302">
        <v>0.12414607965487234</v>
      </c>
      <c r="H272" s="303">
        <v>10323.757098549999</v>
      </c>
      <c r="I272" s="298">
        <v>353.64319889000001</v>
      </c>
      <c r="J272" s="298">
        <v>343.29624360000003</v>
      </c>
      <c r="K272" s="302">
        <v>-2.9258176949186532E-2</v>
      </c>
      <c r="L272" s="298">
        <v>446.48171783999999</v>
      </c>
      <c r="M272" s="298">
        <v>518.05352850999998</v>
      </c>
      <c r="N272" s="298">
        <v>558.73833902000001</v>
      </c>
      <c r="O272" s="306">
        <v>661.16326365999998</v>
      </c>
      <c r="P272" s="306" cm="1">
        <f t="array" ref="P272">INDEX($E$152:$E$676, MATCH($B272, $B$153:$B$676, 0) * MATCH("Brazil", $A$152:$A$676, 0))</f>
        <v>685177.29793137999</v>
      </c>
      <c r="Q272" s="306">
        <f t="shared" si="21"/>
        <v>684871.91391607001</v>
      </c>
      <c r="R272" s="336">
        <f>INDEX('Base GDP'!$A$1:$E$76,MATCH(A272,'Base GDP'!$A$1:$A$76,0),4)</f>
        <v>195024.47923529</v>
      </c>
      <c r="S272" s="336">
        <f>INDEX('Base GDP'!$A$1:$E$76,MATCH(A272,'Base GDP'!$A$1:$A$76,0),5)</f>
        <v>224406.94908081999</v>
      </c>
      <c r="T272" s="335">
        <f t="shared" si="22"/>
        <v>1.8133272309028563E-3</v>
      </c>
      <c r="U272" s="335">
        <f t="shared" si="23"/>
        <v>1.5297932840589625E-3</v>
      </c>
      <c r="V272" s="335">
        <f t="shared" si="24"/>
        <v>-2.8353394684389375E-4</v>
      </c>
    </row>
    <row r="273" spans="1:22" x14ac:dyDescent="0.45">
      <c r="A273" s="293" t="s">
        <v>149</v>
      </c>
      <c r="B273" s="297" t="s">
        <v>4</v>
      </c>
      <c r="C273" s="293" t="str">
        <f t="shared" si="20"/>
        <v>UkraineManufacture of computer, electronic and optical products (C26)</v>
      </c>
      <c r="D273" s="297" t="s">
        <v>958</v>
      </c>
      <c r="E273" s="298">
        <v>620.04489627999999</v>
      </c>
      <c r="F273" s="298">
        <v>334.57274961000002</v>
      </c>
      <c r="G273" s="302">
        <v>-0.46040560672736575</v>
      </c>
      <c r="H273" s="303">
        <v>10009.09621758</v>
      </c>
      <c r="I273" s="298">
        <v>281.96655609999999</v>
      </c>
      <c r="J273" s="298">
        <v>334.57274961000002</v>
      </c>
      <c r="K273" s="302">
        <v>0.18656891170931322</v>
      </c>
      <c r="L273" s="298">
        <v>248.76114665</v>
      </c>
      <c r="M273" s="298">
        <v>307.59909307999999</v>
      </c>
      <c r="N273" s="298">
        <v>394.48900795999998</v>
      </c>
      <c r="O273" s="306">
        <v>667.49995882999997</v>
      </c>
      <c r="P273" s="306" cm="1">
        <f t="array" ref="P273">INDEX($E$152:$E$676, MATCH($B273, $B$153:$B$676, 0) * MATCH("Brazil", $A$152:$A$676, 0))</f>
        <v>685177.29793137999</v>
      </c>
      <c r="Q273" s="306">
        <f t="shared" si="21"/>
        <v>684557.25303509994</v>
      </c>
      <c r="R273" s="336">
        <f>INDEX('Base GDP'!$A$1:$E$76,MATCH(A273,'Base GDP'!$A$1:$A$76,0),4)</f>
        <v>137743.94890503999</v>
      </c>
      <c r="S273" s="336">
        <f>INDEX('Base GDP'!$A$1:$E$76,MATCH(A273,'Base GDP'!$A$1:$A$76,0),5)</f>
        <v>153275.23415388001</v>
      </c>
      <c r="T273" s="335">
        <f t="shared" si="22"/>
        <v>2.0470340682216567E-3</v>
      </c>
      <c r="U273" s="335">
        <f t="shared" si="23"/>
        <v>2.1828232816405758E-3</v>
      </c>
      <c r="V273" s="335">
        <f t="shared" si="24"/>
        <v>1.3578921341891913E-4</v>
      </c>
    </row>
    <row r="274" spans="1:22" x14ac:dyDescent="0.45">
      <c r="A274" s="293" t="s">
        <v>124</v>
      </c>
      <c r="B274" s="297" t="s">
        <v>4</v>
      </c>
      <c r="C274" s="293" t="str">
        <f t="shared" si="20"/>
        <v>BangladeshManufacture of computer, electronic and optical products (C26)</v>
      </c>
      <c r="D274" s="297" t="s">
        <v>958</v>
      </c>
      <c r="E274" s="298">
        <v>102.76803494000001</v>
      </c>
      <c r="F274" s="298">
        <v>283.15852773</v>
      </c>
      <c r="G274" s="302">
        <v>1.7553171362605018</v>
      </c>
      <c r="H274" s="303">
        <v>10526.37307892</v>
      </c>
      <c r="I274" s="298">
        <v>170.48056585</v>
      </c>
      <c r="J274" s="298">
        <v>283.15852773</v>
      </c>
      <c r="K274" s="302">
        <v>0.66094314808376153</v>
      </c>
      <c r="L274" s="298">
        <v>351.76013132999998</v>
      </c>
      <c r="M274" s="298">
        <v>462.50057243999998</v>
      </c>
      <c r="N274" s="298">
        <v>556.44384219999995</v>
      </c>
      <c r="O274" s="306">
        <v>816.89887155999998</v>
      </c>
      <c r="P274" s="306" cm="1">
        <f t="array" ref="P274">INDEX($E$152:$E$676, MATCH($B274, $B$153:$B$676, 0) * MATCH("Brazil", $A$152:$A$676, 0))</f>
        <v>685177.29793137999</v>
      </c>
      <c r="Q274" s="306">
        <f t="shared" si="21"/>
        <v>685074.52989643998</v>
      </c>
      <c r="R274" s="336">
        <f>INDEX('Base GDP'!$A$1:$E$76,MATCH(A274,'Base GDP'!$A$1:$A$76,0),4)</f>
        <v>264392.25455249997</v>
      </c>
      <c r="S274" s="336">
        <f>INDEX('Base GDP'!$A$1:$E$76,MATCH(A274,'Base GDP'!$A$1:$A$76,0),5)</f>
        <v>386628.84638325998</v>
      </c>
      <c r="T274" s="335">
        <f t="shared" si="22"/>
        <v>6.4480166462723635E-4</v>
      </c>
      <c r="U274" s="335">
        <f t="shared" si="23"/>
        <v>7.323781719310948E-4</v>
      </c>
      <c r="V274" s="335">
        <f t="shared" si="24"/>
        <v>8.7576507303858443E-5</v>
      </c>
    </row>
    <row r="275" spans="1:22" x14ac:dyDescent="0.45">
      <c r="A275" s="293" t="s">
        <v>155</v>
      </c>
      <c r="B275" s="297" t="s">
        <v>4</v>
      </c>
      <c r="C275" s="293" t="str">
        <f t="shared" si="20"/>
        <v>QatarManufacture of computer, electronic and optical products (C26)</v>
      </c>
      <c r="D275" s="297" t="s">
        <v>958</v>
      </c>
      <c r="E275" s="298">
        <v>127.33861021</v>
      </c>
      <c r="F275" s="298">
        <v>271.86380695000003</v>
      </c>
      <c r="G275" s="302">
        <v>1.1349675993923354</v>
      </c>
      <c r="H275" s="303">
        <v>10501.80250365</v>
      </c>
      <c r="I275" s="298">
        <v>225.51546841000001</v>
      </c>
      <c r="J275" s="298">
        <v>271.86380695000003</v>
      </c>
      <c r="K275" s="302">
        <v>0.20552177137461847</v>
      </c>
      <c r="L275" s="298">
        <v>389.20799247999997</v>
      </c>
      <c r="M275" s="298">
        <v>455.97340383</v>
      </c>
      <c r="N275" s="298">
        <v>490.78955396999999</v>
      </c>
      <c r="O275" s="306">
        <v>564.51222912000003</v>
      </c>
      <c r="P275" s="306" cm="1">
        <f t="array" ref="P275">INDEX($E$152:$E$676, MATCH($B275, $B$153:$B$676, 0) * MATCH("Brazil", $A$152:$A$676, 0))</f>
        <v>685177.29793137999</v>
      </c>
      <c r="Q275" s="306">
        <f t="shared" si="21"/>
        <v>685049.95932117</v>
      </c>
      <c r="R275" s="336">
        <f>INDEX('Base GDP'!$A$1:$E$76,MATCH(A275,'Base GDP'!$A$1:$A$76,0),4)</f>
        <v>170576.82347613</v>
      </c>
      <c r="S275" s="336">
        <f>INDEX('Base GDP'!$A$1:$E$76,MATCH(A275,'Base GDP'!$A$1:$A$76,0),5)</f>
        <v>172715.39534024999</v>
      </c>
      <c r="T275" s="335">
        <f t="shared" si="22"/>
        <v>1.322075671326814E-3</v>
      </c>
      <c r="U275" s="335">
        <f t="shared" si="23"/>
        <v>1.5740565941700061E-3</v>
      </c>
      <c r="V275" s="335">
        <f t="shared" si="24"/>
        <v>2.5198092284319201E-4</v>
      </c>
    </row>
    <row r="276" spans="1:22" x14ac:dyDescent="0.45">
      <c r="A276" s="293" t="s">
        <v>164</v>
      </c>
      <c r="B276" s="297" t="s">
        <v>4</v>
      </c>
      <c r="C276" s="293" t="str">
        <f t="shared" si="20"/>
        <v>MoroccoManufacture of computer, electronic and optical products (C26)</v>
      </c>
      <c r="D276" s="297" t="s">
        <v>958</v>
      </c>
      <c r="E276" s="298">
        <v>297.52164963000001</v>
      </c>
      <c r="F276" s="298">
        <v>259.59416743999998</v>
      </c>
      <c r="G276" s="302">
        <v>-0.12747805827632008</v>
      </c>
      <c r="H276" s="303">
        <v>10331.61946423</v>
      </c>
      <c r="I276" s="298">
        <v>285.20627377</v>
      </c>
      <c r="J276" s="298">
        <v>259.59416743999998</v>
      </c>
      <c r="K276" s="302">
        <v>-8.9802043943305709E-2</v>
      </c>
      <c r="L276" s="298">
        <v>319.52248330999998</v>
      </c>
      <c r="M276" s="298">
        <v>347.13477932000001</v>
      </c>
      <c r="N276" s="298">
        <v>365.54133419999999</v>
      </c>
      <c r="O276" s="306">
        <v>420.00204753999998</v>
      </c>
      <c r="P276" s="306" cm="1">
        <f t="array" ref="P276">INDEX($E$152:$E$676, MATCH($B276, $B$153:$B$676, 0) * MATCH("Brazil", $A$152:$A$676, 0))</f>
        <v>685177.29793137999</v>
      </c>
      <c r="Q276" s="306">
        <f t="shared" si="21"/>
        <v>684879.77628174995</v>
      </c>
      <c r="R276" s="336">
        <f>INDEX('Base GDP'!$A$1:$E$76,MATCH(A276,'Base GDP'!$A$1:$A$76,0),4)</f>
        <v>115608.87885166</v>
      </c>
      <c r="S276" s="336">
        <f>INDEX('Base GDP'!$A$1:$E$76,MATCH(A276,'Base GDP'!$A$1:$A$76,0),5)</f>
        <v>129710.11086108</v>
      </c>
      <c r="T276" s="335">
        <f t="shared" si="22"/>
        <v>2.4669928175322388E-3</v>
      </c>
      <c r="U276" s="335">
        <f t="shared" si="23"/>
        <v>2.0013410343780085E-3</v>
      </c>
      <c r="V276" s="335">
        <f t="shared" si="24"/>
        <v>-4.6565178315423035E-4</v>
      </c>
    </row>
    <row r="277" spans="1:22" x14ac:dyDescent="0.45">
      <c r="A277" s="293" t="s">
        <v>170</v>
      </c>
      <c r="B277" s="297" t="s">
        <v>4</v>
      </c>
      <c r="C277" s="293" t="str">
        <f t="shared" si="20"/>
        <v>ChileManufacture of computer, electronic and optical products (C26)</v>
      </c>
      <c r="D277" s="297" t="s">
        <v>958</v>
      </c>
      <c r="E277" s="298">
        <v>46.091324149999998</v>
      </c>
      <c r="F277" s="298">
        <v>226.97172477999999</v>
      </c>
      <c r="G277" s="302">
        <v>3.9243914980906442</v>
      </c>
      <c r="H277" s="303">
        <v>10583.049789709999</v>
      </c>
      <c r="I277" s="298">
        <v>262.65182876</v>
      </c>
      <c r="J277" s="298">
        <v>226.97172477999999</v>
      </c>
      <c r="K277" s="302">
        <v>-0.13584563316558118</v>
      </c>
      <c r="L277" s="298">
        <v>271.9011155</v>
      </c>
      <c r="M277" s="298">
        <v>310.47497140000002</v>
      </c>
      <c r="N277" s="298">
        <v>341.07666854000001</v>
      </c>
      <c r="O277" s="306">
        <v>414.16620633999997</v>
      </c>
      <c r="P277" s="306" cm="1">
        <f t="array" ref="P277">INDEX($E$152:$E$676, MATCH($B277, $B$153:$B$676, 0) * MATCH("Brazil", $A$152:$A$676, 0))</f>
        <v>685177.29793137999</v>
      </c>
      <c r="Q277" s="306">
        <f t="shared" si="21"/>
        <v>685131.20660723001</v>
      </c>
      <c r="R277" s="336">
        <f>INDEX('Base GDP'!$A$1:$E$76,MATCH(A277,'Base GDP'!$A$1:$A$76,0),4)</f>
        <v>257576.69277617999</v>
      </c>
      <c r="S277" s="336">
        <f>INDEX('Base GDP'!$A$1:$E$76,MATCH(A277,'Base GDP'!$A$1:$A$76,0),5)</f>
        <v>291863.26262717001</v>
      </c>
      <c r="T277" s="335">
        <f t="shared" si="22"/>
        <v>1.0197033975749895E-3</v>
      </c>
      <c r="U277" s="335">
        <f t="shared" si="23"/>
        <v>7.7766459107234977E-4</v>
      </c>
      <c r="V277" s="335">
        <f t="shared" si="24"/>
        <v>-2.4203880650263971E-4</v>
      </c>
    </row>
    <row r="278" spans="1:22" x14ac:dyDescent="0.45">
      <c r="A278" s="293" t="s">
        <v>165</v>
      </c>
      <c r="B278" s="297" t="s">
        <v>4</v>
      </c>
      <c r="C278" s="293" t="str">
        <f t="shared" si="20"/>
        <v>EcuadorManufacture of computer, electronic and optical products (C26)</v>
      </c>
      <c r="D278" s="297" t="s">
        <v>958</v>
      </c>
      <c r="E278" s="298">
        <v>203.78448900000001</v>
      </c>
      <c r="F278" s="298">
        <v>224.31425252</v>
      </c>
      <c r="G278" s="302">
        <v>0.10074252275402573</v>
      </c>
      <c r="H278" s="303">
        <v>10425.35662486</v>
      </c>
      <c r="I278" s="298">
        <v>221.33264840000001</v>
      </c>
      <c r="J278" s="298">
        <v>224.31425252</v>
      </c>
      <c r="K278" s="302">
        <v>1.3471144639319199E-2</v>
      </c>
      <c r="L278" s="298">
        <v>240.80471363999999</v>
      </c>
      <c r="M278" s="298">
        <v>257.56499731999997</v>
      </c>
      <c r="N278" s="298">
        <v>272.26967595999997</v>
      </c>
      <c r="O278" s="306">
        <v>312.65805895</v>
      </c>
      <c r="P278" s="306" cm="1">
        <f t="array" ref="P278">INDEX($E$152:$E$676, MATCH($B278, $B$153:$B$676, 0) * MATCH("Brazil", $A$152:$A$676, 0))</f>
        <v>685177.29793137999</v>
      </c>
      <c r="Q278" s="306">
        <f t="shared" si="21"/>
        <v>684973.51344238</v>
      </c>
      <c r="R278" s="336">
        <f>INDEX('Base GDP'!$A$1:$E$76,MATCH(A278,'Base GDP'!$A$1:$A$76,0),4)</f>
        <v>105544.34131757999</v>
      </c>
      <c r="S278" s="336">
        <f>INDEX('Base GDP'!$A$1:$E$76,MATCH(A278,'Base GDP'!$A$1:$A$76,0),5)</f>
        <v>103911.06087433999</v>
      </c>
      <c r="T278" s="335">
        <f t="shared" si="22"/>
        <v>2.0970584082193114E-3</v>
      </c>
      <c r="U278" s="335">
        <f t="shared" si="23"/>
        <v>2.1587139100741545E-3</v>
      </c>
      <c r="V278" s="335">
        <f t="shared" si="24"/>
        <v>6.1655501854843142E-5</v>
      </c>
    </row>
    <row r="279" spans="1:22" x14ac:dyDescent="0.45">
      <c r="A279" s="293" t="s">
        <v>159</v>
      </c>
      <c r="B279" s="297" t="s">
        <v>4</v>
      </c>
      <c r="C279" s="293" t="str">
        <f t="shared" si="20"/>
        <v>KuwaitManufacture of computer, electronic and optical products (C26)</v>
      </c>
      <c r="D279" s="297" t="s">
        <v>958</v>
      </c>
      <c r="E279" s="298">
        <v>141.52434625000001</v>
      </c>
      <c r="F279" s="298">
        <v>149.46095635</v>
      </c>
      <c r="G279" s="302">
        <v>5.6079468376275976E-2</v>
      </c>
      <c r="H279" s="303">
        <v>10487.616767609999</v>
      </c>
      <c r="I279" s="298">
        <v>137.47624432000001</v>
      </c>
      <c r="J279" s="298">
        <v>149.46095635</v>
      </c>
      <c r="K279" s="302">
        <v>8.7176603414503173E-2</v>
      </c>
      <c r="L279" s="298">
        <v>182.43531535</v>
      </c>
      <c r="M279" s="298">
        <v>193.56809795999999</v>
      </c>
      <c r="N279" s="298">
        <v>197.16855874000001</v>
      </c>
      <c r="O279" s="306">
        <v>208.63915847000001</v>
      </c>
      <c r="P279" s="306" cm="1">
        <f t="array" ref="P279">INDEX($E$152:$E$676, MATCH($B279, $B$153:$B$676, 0) * MATCH("Brazil", $A$152:$A$676, 0))</f>
        <v>685177.29793137999</v>
      </c>
      <c r="Q279" s="306">
        <f t="shared" si="21"/>
        <v>685035.77358512999</v>
      </c>
      <c r="R279" s="336">
        <f>INDEX('Base GDP'!$A$1:$E$76,MATCH(A279,'Base GDP'!$A$1:$A$76,0),4)</f>
        <v>136318.13330372999</v>
      </c>
      <c r="S279" s="336">
        <f>INDEX('Base GDP'!$A$1:$E$76,MATCH(A279,'Base GDP'!$A$1:$A$76,0),5)</f>
        <v>128320.86664452001</v>
      </c>
      <c r="T279" s="335">
        <f t="shared" si="22"/>
        <v>1.0084956490248413E-3</v>
      </c>
      <c r="U279" s="335">
        <f t="shared" si="23"/>
        <v>1.1647439754599164E-3</v>
      </c>
      <c r="V279" s="335">
        <f t="shared" si="24"/>
        <v>1.5624832643507504E-4</v>
      </c>
    </row>
    <row r="280" spans="1:22" x14ac:dyDescent="0.45">
      <c r="A280" s="293" t="s">
        <v>166</v>
      </c>
      <c r="B280" s="297" t="s">
        <v>4</v>
      </c>
      <c r="C280" s="293" t="str">
        <f t="shared" si="20"/>
        <v>HondurasManufacture of computer, electronic and optical products (C26)</v>
      </c>
      <c r="D280" s="297" t="s">
        <v>958</v>
      </c>
      <c r="E280" s="298">
        <v>86.933093499999998</v>
      </c>
      <c r="F280" s="298">
        <v>112.58305885999999</v>
      </c>
      <c r="G280" s="302">
        <v>0.2950540965161903</v>
      </c>
      <c r="H280" s="303">
        <v>10542.20802036</v>
      </c>
      <c r="I280" s="298">
        <v>100.8507597</v>
      </c>
      <c r="J280" s="298">
        <v>112.58305885999999</v>
      </c>
      <c r="K280" s="302">
        <v>0.1163332749787902</v>
      </c>
      <c r="L280" s="298">
        <v>125.77171645</v>
      </c>
      <c r="M280" s="298">
        <v>142.34172957000001</v>
      </c>
      <c r="N280" s="298">
        <v>156.45157567999999</v>
      </c>
      <c r="O280" s="306">
        <v>195.07241589</v>
      </c>
      <c r="P280" s="306" cm="1">
        <f t="array" ref="P280">INDEX($E$152:$E$676, MATCH($B280, $B$153:$B$676, 0) * MATCH("Brazil", $A$152:$A$676, 0))</f>
        <v>685177.29793137999</v>
      </c>
      <c r="Q280" s="306">
        <f t="shared" si="21"/>
        <v>685090.36483788001</v>
      </c>
      <c r="R280" s="336">
        <f>INDEX('Base GDP'!$A$1:$E$76,MATCH(A280,'Base GDP'!$A$1:$A$76,0),4)</f>
        <v>21608.112082880001</v>
      </c>
      <c r="S280" s="336">
        <f>INDEX('Base GDP'!$A$1:$E$76,MATCH(A280,'Base GDP'!$A$1:$A$76,0),5)</f>
        <v>25703.55773198</v>
      </c>
      <c r="T280" s="335">
        <f t="shared" si="22"/>
        <v>4.6672638180132149E-3</v>
      </c>
      <c r="U280" s="335">
        <f t="shared" si="23"/>
        <v>4.3800574237209877E-3</v>
      </c>
      <c r="V280" s="335">
        <f t="shared" si="24"/>
        <v>-2.8720639429222726E-4</v>
      </c>
    </row>
    <row r="281" spans="1:22" x14ac:dyDescent="0.45">
      <c r="A281" s="293" t="s">
        <v>143</v>
      </c>
      <c r="B281" s="297" t="s">
        <v>4</v>
      </c>
      <c r="C281" s="293" t="str">
        <f t="shared" si="20"/>
        <v>United Arab EmiratesManufacture of computer, electronic and optical products (C26)</v>
      </c>
      <c r="D281" s="297" t="s">
        <v>958</v>
      </c>
      <c r="E281" s="298">
        <v>113.74955093</v>
      </c>
      <c r="F281" s="298">
        <v>106.40056671000001</v>
      </c>
      <c r="G281" s="302">
        <v>-6.4606709740089086E-2</v>
      </c>
      <c r="H281" s="303">
        <v>10515.391562929999</v>
      </c>
      <c r="I281" s="298">
        <v>136.54035782</v>
      </c>
      <c r="J281" s="298">
        <v>106.40056671000001</v>
      </c>
      <c r="K281" s="302">
        <v>-0.22073906639187968</v>
      </c>
      <c r="L281" s="298">
        <v>145.54791957</v>
      </c>
      <c r="M281" s="298">
        <v>164.84225433</v>
      </c>
      <c r="N281" s="298">
        <v>179.71219769999999</v>
      </c>
      <c r="O281" s="306">
        <v>216.65918001</v>
      </c>
      <c r="P281" s="306" cm="1">
        <f t="array" ref="P281">INDEX($E$152:$E$676, MATCH($B281, $B$153:$B$676, 0) * MATCH("Brazil", $A$152:$A$676, 0))</f>
        <v>685177.29793137999</v>
      </c>
      <c r="Q281" s="306">
        <f t="shared" si="21"/>
        <v>685063.54838045</v>
      </c>
      <c r="R281" s="336">
        <f>INDEX('Base GDP'!$A$1:$E$76,MATCH(A281,'Base GDP'!$A$1:$A$76,0),4)</f>
        <v>383753.13090967003</v>
      </c>
      <c r="S281" s="336">
        <f>INDEX('Base GDP'!$A$1:$E$76,MATCH(A281,'Base GDP'!$A$1:$A$76,0),5)</f>
        <v>414599.77007557999</v>
      </c>
      <c r="T281" s="335">
        <f t="shared" si="22"/>
        <v>3.5580258979604166E-4</v>
      </c>
      <c r="U281" s="335">
        <f t="shared" si="23"/>
        <v>2.566344083852328E-4</v>
      </c>
      <c r="V281" s="335">
        <f t="shared" si="24"/>
        <v>-9.9168181410808857E-5</v>
      </c>
    </row>
    <row r="282" spans="1:22" x14ac:dyDescent="0.45">
      <c r="A282" s="293" t="s">
        <v>105</v>
      </c>
      <c r="B282" s="297" t="s">
        <v>4</v>
      </c>
      <c r="C282" s="293" t="str">
        <f t="shared" si="20"/>
        <v>Saudi ArabiaManufacture of computer, electronic and optical products (C26)</v>
      </c>
      <c r="D282" s="297" t="s">
        <v>958</v>
      </c>
      <c r="E282" s="298">
        <v>81.938967700000006</v>
      </c>
      <c r="F282" s="298">
        <v>86.994690689999999</v>
      </c>
      <c r="G282" s="302">
        <v>6.1701082304457699E-2</v>
      </c>
      <c r="H282" s="303">
        <v>10547.20214616</v>
      </c>
      <c r="I282" s="298">
        <v>90.723488939999996</v>
      </c>
      <c r="J282" s="298">
        <v>86.994690689999999</v>
      </c>
      <c r="K282" s="302">
        <v>-4.110069281469142E-2</v>
      </c>
      <c r="L282" s="298">
        <v>97.08681267</v>
      </c>
      <c r="M282" s="298">
        <v>103.05126</v>
      </c>
      <c r="N282" s="298">
        <v>111.9105862</v>
      </c>
      <c r="O282" s="306">
        <v>127.16559525</v>
      </c>
      <c r="P282" s="306" cm="1">
        <f t="array" ref="P282">INDEX($E$152:$E$676, MATCH($B282, $B$153:$B$676, 0) * MATCH("Brazil", $A$152:$A$676, 0))</f>
        <v>685177.29793137999</v>
      </c>
      <c r="Q282" s="306">
        <f t="shared" si="21"/>
        <v>685095.35896367999</v>
      </c>
      <c r="R282" s="336">
        <f>INDEX('Base GDP'!$A$1:$E$76,MATCH(A282,'Base GDP'!$A$1:$A$76,0),4)</f>
        <v>791157.39281293005</v>
      </c>
      <c r="S282" s="336">
        <f>INDEX('Base GDP'!$A$1:$E$76,MATCH(A282,'Base GDP'!$A$1:$A$76,0),5)</f>
        <v>836861.61444072996</v>
      </c>
      <c r="T282" s="335">
        <f t="shared" si="22"/>
        <v>1.1467185892991036E-4</v>
      </c>
      <c r="U282" s="335">
        <f t="shared" si="23"/>
        <v>1.0395349623980313E-4</v>
      </c>
      <c r="V282" s="335">
        <f t="shared" si="24"/>
        <v>-1.0718362690107237E-5</v>
      </c>
    </row>
    <row r="283" spans="1:22" x14ac:dyDescent="0.45">
      <c r="A283" s="293" t="s">
        <v>148</v>
      </c>
      <c r="B283" s="297" t="s">
        <v>4</v>
      </c>
      <c r="C283" s="293" t="str">
        <f t="shared" si="20"/>
        <v>BahrainManufacture of computer, electronic and optical products (C26)</v>
      </c>
      <c r="D283" s="297" t="s">
        <v>958</v>
      </c>
      <c r="E283" s="298">
        <v>80.954366140000005</v>
      </c>
      <c r="F283" s="298">
        <v>86.435257719999996</v>
      </c>
      <c r="G283" s="302">
        <v>6.7703470996505644E-2</v>
      </c>
      <c r="H283" s="303">
        <v>10548.186747719999</v>
      </c>
      <c r="I283" s="298">
        <v>87.953409969999996</v>
      </c>
      <c r="J283" s="298">
        <v>86.435257719999996</v>
      </c>
      <c r="K283" s="302">
        <v>-1.726086857255249E-2</v>
      </c>
      <c r="L283" s="298">
        <v>92.599683290000002</v>
      </c>
      <c r="M283" s="298">
        <v>98.289159330000004</v>
      </c>
      <c r="N283" s="298">
        <v>103.17130421</v>
      </c>
      <c r="O283" s="306">
        <v>113.79153203</v>
      </c>
      <c r="P283" s="306" cm="1">
        <f t="array" ref="P283">INDEX($E$152:$E$676, MATCH($B283, $B$153:$B$676, 0) * MATCH("Brazil", $A$152:$A$676, 0))</f>
        <v>685177.29793137999</v>
      </c>
      <c r="Q283" s="306">
        <f t="shared" si="21"/>
        <v>685096.34356524004</v>
      </c>
      <c r="R283" s="336">
        <f>INDEX('Base GDP'!$A$1:$E$76,MATCH(A283,'Base GDP'!$A$1:$A$76,0),4)</f>
        <v>33332.328188890002</v>
      </c>
      <c r="S283" s="336">
        <f>INDEX('Base GDP'!$A$1:$E$76,MATCH(A283,'Base GDP'!$A$1:$A$76,0),5)</f>
        <v>36767.801730239997</v>
      </c>
      <c r="T283" s="335">
        <f t="shared" si="22"/>
        <v>2.6386818667924836E-3</v>
      </c>
      <c r="U283" s="335">
        <f t="shared" si="23"/>
        <v>2.3508410525644933E-3</v>
      </c>
      <c r="V283" s="335">
        <f t="shared" si="24"/>
        <v>-2.878408142279903E-4</v>
      </c>
    </row>
    <row r="284" spans="1:22" x14ac:dyDescent="0.45">
      <c r="A284" s="293" t="s">
        <v>147</v>
      </c>
      <c r="B284" s="297" t="s">
        <v>4</v>
      </c>
      <c r="C284" s="293" t="str">
        <f t="shared" si="20"/>
        <v>PeruManufacture of computer, electronic and optical products (C26)</v>
      </c>
      <c r="D284" s="297" t="s">
        <v>958</v>
      </c>
      <c r="E284" s="298">
        <v>55.425594390000001</v>
      </c>
      <c r="F284" s="298">
        <v>74.226626550000006</v>
      </c>
      <c r="G284" s="302">
        <v>0.33921209807345121</v>
      </c>
      <c r="H284" s="303">
        <v>10573.715519469999</v>
      </c>
      <c r="I284" s="298">
        <v>58.679839469999997</v>
      </c>
      <c r="J284" s="298">
        <v>74.226626550000006</v>
      </c>
      <c r="K284" s="302">
        <v>0.26494256324522292</v>
      </c>
      <c r="L284" s="298">
        <v>78.267836380000006</v>
      </c>
      <c r="M284" s="298">
        <v>84.386585710000006</v>
      </c>
      <c r="N284" s="298">
        <v>89.138554400000004</v>
      </c>
      <c r="O284" s="306">
        <v>99.301546490000007</v>
      </c>
      <c r="P284" s="306" cm="1">
        <f t="array" ref="P284">INDEX($E$152:$E$676, MATCH($B284, $B$153:$B$676, 0) * MATCH("Brazil", $A$152:$A$676, 0))</f>
        <v>685177.29793137999</v>
      </c>
      <c r="Q284" s="306">
        <f t="shared" si="21"/>
        <v>685121.87233698997</v>
      </c>
      <c r="R284" s="336">
        <f>INDEX('Base GDP'!$A$1:$E$76,MATCH(A284,'Base GDP'!$A$1:$A$76,0),4)</f>
        <v>205342.67167914001</v>
      </c>
      <c r="S284" s="336">
        <f>INDEX('Base GDP'!$A$1:$E$76,MATCH(A284,'Base GDP'!$A$1:$A$76,0),5)</f>
        <v>235110.76142220001</v>
      </c>
      <c r="T284" s="335">
        <f t="shared" si="22"/>
        <v>2.8576544266303643E-4</v>
      </c>
      <c r="U284" s="335">
        <f t="shared" si="23"/>
        <v>3.157091836247665E-4</v>
      </c>
      <c r="V284" s="335">
        <f t="shared" si="24"/>
        <v>2.9943740961730064E-5</v>
      </c>
    </row>
    <row r="285" spans="1:22" x14ac:dyDescent="0.45">
      <c r="A285" s="293" t="s">
        <v>167</v>
      </c>
      <c r="B285" s="297" t="s">
        <v>4</v>
      </c>
      <c r="C285" s="293" t="str">
        <f t="shared" si="20"/>
        <v>Hong Kong SARManufacture of computer, electronic and optical products (C26)</v>
      </c>
      <c r="D285" s="297" t="s">
        <v>958</v>
      </c>
      <c r="E285" s="298">
        <v>108.0320772</v>
      </c>
      <c r="F285" s="298">
        <v>66.211617270000005</v>
      </c>
      <c r="G285" s="302">
        <v>-0.38711150441528308</v>
      </c>
      <c r="H285" s="303">
        <v>10521.10903666</v>
      </c>
      <c r="I285" s="298">
        <v>71.165819420000005</v>
      </c>
      <c r="J285" s="298">
        <v>66.211617270000005</v>
      </c>
      <c r="K285" s="302">
        <v>-6.96149105058671E-2</v>
      </c>
      <c r="L285" s="298">
        <v>65.991477450000005</v>
      </c>
      <c r="M285" s="298">
        <v>65.624845480000005</v>
      </c>
      <c r="N285" s="298">
        <v>65.221194659999995</v>
      </c>
      <c r="O285" s="306">
        <v>65.526207940000006</v>
      </c>
      <c r="P285" s="306" cm="1">
        <f t="array" ref="P285">INDEX($E$152:$E$676, MATCH($B285, $B$153:$B$676, 0) * MATCH("Brazil", $A$152:$A$676, 0))</f>
        <v>685177.29793137999</v>
      </c>
      <c r="Q285" s="306">
        <f t="shared" si="21"/>
        <v>685069.26585417998</v>
      </c>
      <c r="R285" s="336">
        <f>INDEX('Base GDP'!$A$1:$E$76,MATCH(A285,'Base GDP'!$A$1:$A$76,0),4)</f>
        <v>338559.97086627001</v>
      </c>
      <c r="S285" s="336">
        <f>INDEX('Base GDP'!$A$1:$E$76,MATCH(A285,'Base GDP'!$A$1:$A$76,0),5)</f>
        <v>361197.76240428002</v>
      </c>
      <c r="T285" s="335">
        <f t="shared" si="22"/>
        <v>2.1020151684769092E-4</v>
      </c>
      <c r="U285" s="335">
        <f t="shared" si="23"/>
        <v>1.8331126092606002E-4</v>
      </c>
      <c r="V285" s="335">
        <f t="shared" si="24"/>
        <v>-2.6890255921630901E-5</v>
      </c>
    </row>
    <row r="286" spans="1:22" x14ac:dyDescent="0.45">
      <c r="A286" s="293" t="s">
        <v>169</v>
      </c>
      <c r="B286" s="297" t="s">
        <v>4</v>
      </c>
      <c r="C286" s="293" t="str">
        <f t="shared" si="20"/>
        <v>Costa RicaManufacture of computer, electronic and optical products (C26)</v>
      </c>
      <c r="D286" s="297" t="s">
        <v>958</v>
      </c>
      <c r="E286" s="298">
        <v>49.840107150000001</v>
      </c>
      <c r="F286" s="298">
        <v>65.314274190000006</v>
      </c>
      <c r="G286" s="302">
        <v>0.31047619928722403</v>
      </c>
      <c r="H286" s="303">
        <v>10579.30100671</v>
      </c>
      <c r="I286" s="298">
        <v>57.82636892</v>
      </c>
      <c r="J286" s="298">
        <v>65.314274190000006</v>
      </c>
      <c r="K286" s="302">
        <v>0.12948945973694403</v>
      </c>
      <c r="L286" s="298">
        <v>77.682482759999999</v>
      </c>
      <c r="M286" s="298">
        <v>88.065367219999999</v>
      </c>
      <c r="N286" s="298">
        <v>97.110729770000006</v>
      </c>
      <c r="O286" s="306">
        <v>122.41878909</v>
      </c>
      <c r="P286" s="306" cm="1">
        <f t="array" ref="P286">INDEX($E$152:$E$676, MATCH($B286, $B$153:$B$676, 0) * MATCH("Brazil", $A$152:$A$676, 0))</f>
        <v>685177.29793137999</v>
      </c>
      <c r="Q286" s="306">
        <f t="shared" si="21"/>
        <v>685127.45782422996</v>
      </c>
      <c r="R286" s="336">
        <f>INDEX('Base GDP'!$A$1:$E$76,MATCH(A286,'Base GDP'!$A$1:$A$76,0),4)</f>
        <v>56790.776904650003</v>
      </c>
      <c r="S286" s="336">
        <f>INDEX('Base GDP'!$A$1:$E$76,MATCH(A286,'Base GDP'!$A$1:$A$76,0),5)</f>
        <v>66933.267445050005</v>
      </c>
      <c r="T286" s="335">
        <f t="shared" si="22"/>
        <v>1.0182352147970915E-3</v>
      </c>
      <c r="U286" s="335">
        <f t="shared" si="23"/>
        <v>9.7581182994870019E-4</v>
      </c>
      <c r="V286" s="335">
        <f t="shared" si="24"/>
        <v>-4.2423384848391311E-5</v>
      </c>
    </row>
    <row r="287" spans="1:22" x14ac:dyDescent="0.45">
      <c r="A287" s="293" t="s">
        <v>154</v>
      </c>
      <c r="B287" s="297" t="s">
        <v>4</v>
      </c>
      <c r="C287" s="293" t="str">
        <f t="shared" si="20"/>
        <v>PakistanManufacture of computer, electronic and optical products (C26)</v>
      </c>
      <c r="D287" s="297" t="s">
        <v>958</v>
      </c>
      <c r="E287" s="298">
        <v>36.254794969999999</v>
      </c>
      <c r="F287" s="298">
        <v>59.712514609999999</v>
      </c>
      <c r="G287" s="302">
        <v>0.64702392219872484</v>
      </c>
      <c r="H287" s="303">
        <v>10592.88631889</v>
      </c>
      <c r="I287" s="298">
        <v>44.453972419999999</v>
      </c>
      <c r="J287" s="298">
        <v>59.712514609999999</v>
      </c>
      <c r="K287" s="302">
        <v>0.34324361489762234</v>
      </c>
      <c r="L287" s="298">
        <v>66.556109620000001</v>
      </c>
      <c r="M287" s="298">
        <v>81.532974100000004</v>
      </c>
      <c r="N287" s="298">
        <v>93.407466709999994</v>
      </c>
      <c r="O287" s="306">
        <v>127.90152754</v>
      </c>
      <c r="P287" s="306" cm="1">
        <f t="array" ref="P287">INDEX($E$152:$E$676, MATCH($B287, $B$153:$B$676, 0) * MATCH("Brazil", $A$152:$A$676, 0))</f>
        <v>685177.29793137999</v>
      </c>
      <c r="Q287" s="306">
        <f t="shared" si="21"/>
        <v>685141.04313640995</v>
      </c>
      <c r="R287" s="336">
        <f>INDEX('Base GDP'!$A$1:$E$76,MATCH(A287,'Base GDP'!$A$1:$A$76,0),4)</f>
        <v>243681.57424943999</v>
      </c>
      <c r="S287" s="336">
        <f>INDEX('Base GDP'!$A$1:$E$76,MATCH(A287,'Base GDP'!$A$1:$A$76,0),5)</f>
        <v>307178.14587732003</v>
      </c>
      <c r="T287" s="335">
        <f t="shared" si="22"/>
        <v>1.8242648241633379E-4</v>
      </c>
      <c r="U287" s="335">
        <f t="shared" si="23"/>
        <v>1.9439050404922953E-4</v>
      </c>
      <c r="V287" s="335">
        <f t="shared" si="24"/>
        <v>1.1964021632895747E-5</v>
      </c>
    </row>
    <row r="288" spans="1:22" x14ac:dyDescent="0.45">
      <c r="A288" s="293" t="s">
        <v>176</v>
      </c>
      <c r="B288" s="297" t="s">
        <v>4</v>
      </c>
      <c r="C288" s="293" t="str">
        <f t="shared" si="20"/>
        <v>JordanManufacture of computer, electronic and optical products (C26)</v>
      </c>
      <c r="D288" s="297" t="s">
        <v>958</v>
      </c>
      <c r="E288" s="298">
        <v>95.954376719999999</v>
      </c>
      <c r="F288" s="298">
        <v>46.078384700000001</v>
      </c>
      <c r="G288" s="302">
        <v>-0.51978860917976477</v>
      </c>
      <c r="H288" s="303">
        <v>10533.18673714</v>
      </c>
      <c r="I288" s="298">
        <v>81.086365850000007</v>
      </c>
      <c r="J288" s="298">
        <v>46.078384700000001</v>
      </c>
      <c r="K288" s="302">
        <v>-0.43173696074578738</v>
      </c>
      <c r="L288" s="298">
        <v>46.546768559999997</v>
      </c>
      <c r="M288" s="298">
        <v>48.198960219999996</v>
      </c>
      <c r="N288" s="298">
        <v>49.502349129999999</v>
      </c>
      <c r="O288" s="306">
        <v>52.549743360000001</v>
      </c>
      <c r="P288" s="306" cm="1">
        <f t="array" ref="P288">INDEX($E$152:$E$676, MATCH($B288, $B$153:$B$676, 0) * MATCH("Brazil", $A$152:$A$676, 0))</f>
        <v>685177.29793137999</v>
      </c>
      <c r="Q288" s="306">
        <f t="shared" si="21"/>
        <v>685081.34355465998</v>
      </c>
      <c r="R288" s="336">
        <f>INDEX('Base GDP'!$A$1:$E$76,MATCH(A288,'Base GDP'!$A$1:$A$76,0),4)</f>
        <v>41181.394892199998</v>
      </c>
      <c r="S288" s="336">
        <f>INDEX('Base GDP'!$A$1:$E$76,MATCH(A288,'Base GDP'!$A$1:$A$76,0),5)</f>
        <v>44841.419332370002</v>
      </c>
      <c r="T288" s="335">
        <f t="shared" si="22"/>
        <v>1.9690048397403423E-3</v>
      </c>
      <c r="U288" s="335">
        <f t="shared" si="23"/>
        <v>1.0275853303942379E-3</v>
      </c>
      <c r="V288" s="335">
        <f t="shared" si="24"/>
        <v>-9.4141950934610434E-4</v>
      </c>
    </row>
    <row r="289" spans="1:22" x14ac:dyDescent="0.45">
      <c r="A289" s="293" t="s">
        <v>168</v>
      </c>
      <c r="B289" s="297" t="s">
        <v>4</v>
      </c>
      <c r="C289" s="293" t="str">
        <f t="shared" si="20"/>
        <v>TunisiaManufacture of computer, electronic and optical products (C26)</v>
      </c>
      <c r="D289" s="297" t="s">
        <v>958</v>
      </c>
      <c r="E289" s="298">
        <v>42.349770970000002</v>
      </c>
      <c r="F289" s="298">
        <v>38.072164749999999</v>
      </c>
      <c r="G289" s="302">
        <v>-0.10100659630556685</v>
      </c>
      <c r="H289" s="303">
        <v>10586.791342889999</v>
      </c>
      <c r="I289" s="298">
        <v>38.856499880000001</v>
      </c>
      <c r="J289" s="298">
        <v>38.072164749999999</v>
      </c>
      <c r="K289" s="302">
        <v>-2.0185429269806932E-2</v>
      </c>
      <c r="L289" s="298">
        <v>42.047411169999997</v>
      </c>
      <c r="M289" s="298">
        <v>48.2943037</v>
      </c>
      <c r="N289" s="298">
        <v>53.611825289999999</v>
      </c>
      <c r="O289" s="306">
        <v>67.334652019999993</v>
      </c>
      <c r="P289" s="306" cm="1">
        <f t="array" ref="P289">INDEX($E$152:$E$676, MATCH($B289, $B$153:$B$676, 0) * MATCH("Brazil", $A$152:$A$676, 0))</f>
        <v>685177.29793137999</v>
      </c>
      <c r="Q289" s="306">
        <f t="shared" si="21"/>
        <v>685134.94816041004</v>
      </c>
      <c r="R289" s="336">
        <f>INDEX('Base GDP'!$A$1:$E$76,MATCH(A289,'Base GDP'!$A$1:$A$76,0),4)</f>
        <v>38884.65391288</v>
      </c>
      <c r="S289" s="336">
        <f>INDEX('Base GDP'!$A$1:$E$76,MATCH(A289,'Base GDP'!$A$1:$A$76,0),5)</f>
        <v>40072.692608359997</v>
      </c>
      <c r="T289" s="335">
        <f t="shared" si="22"/>
        <v>9.9927596030703852E-4</v>
      </c>
      <c r="U289" s="335">
        <f t="shared" si="23"/>
        <v>9.5007752840789526E-4</v>
      </c>
      <c r="V289" s="335">
        <f t="shared" si="24"/>
        <v>-4.9198431899143266E-5</v>
      </c>
    </row>
    <row r="290" spans="1:22" x14ac:dyDescent="0.45">
      <c r="A290" s="293" t="s">
        <v>175</v>
      </c>
      <c r="B290" s="297" t="s">
        <v>4</v>
      </c>
      <c r="C290" s="293" t="str">
        <f t="shared" si="20"/>
        <v>KenyaManufacture of computer, electronic and optical products (C26)</v>
      </c>
      <c r="D290" s="297" t="s">
        <v>958</v>
      </c>
      <c r="E290" s="298">
        <v>26.540485220000001</v>
      </c>
      <c r="F290" s="298">
        <v>36.495745550000002</v>
      </c>
      <c r="G290" s="302">
        <v>0.37509714865717902</v>
      </c>
      <c r="H290" s="303">
        <v>10602.600628639999</v>
      </c>
      <c r="I290" s="298">
        <v>30.304613419999999</v>
      </c>
      <c r="J290" s="298">
        <v>36.495745550000002</v>
      </c>
      <c r="K290" s="302">
        <v>0.20429668724676975</v>
      </c>
      <c r="L290" s="298">
        <v>42.659660479999999</v>
      </c>
      <c r="M290" s="298">
        <v>52.386633269999997</v>
      </c>
      <c r="N290" s="298">
        <v>60.852253210000001</v>
      </c>
      <c r="O290" s="306">
        <v>84.663138979999999</v>
      </c>
      <c r="P290" s="306" cm="1">
        <f t="array" ref="P290">INDEX($E$152:$E$676, MATCH($B290, $B$153:$B$676, 0) * MATCH("Brazil", $A$152:$A$676, 0))</f>
        <v>685177.29793137999</v>
      </c>
      <c r="Q290" s="306">
        <f t="shared" si="21"/>
        <v>685150.75744615996</v>
      </c>
      <c r="R290" s="336">
        <f>INDEX('Base GDP'!$A$1:$E$76,MATCH(A290,'Base GDP'!$A$1:$A$76,0),4)</f>
        <v>83525.195225389994</v>
      </c>
      <c r="S290" s="336">
        <f>INDEX('Base GDP'!$A$1:$E$76,MATCH(A290,'Base GDP'!$A$1:$A$76,0),5)</f>
        <v>107697.99713524</v>
      </c>
      <c r="T290" s="335">
        <f t="shared" si="22"/>
        <v>3.6282002500232408E-4</v>
      </c>
      <c r="U290" s="335">
        <f t="shared" si="23"/>
        <v>3.3887116307437977E-4</v>
      </c>
      <c r="V290" s="335">
        <f t="shared" si="24"/>
        <v>-2.394886192794431E-5</v>
      </c>
    </row>
    <row r="291" spans="1:22" x14ac:dyDescent="0.45">
      <c r="A291" s="293" t="s">
        <v>158</v>
      </c>
      <c r="B291" s="297" t="s">
        <v>4</v>
      </c>
      <c r="C291" s="293" t="str">
        <f t="shared" si="20"/>
        <v>GhanaManufacture of computer, electronic and optical products (C26)</v>
      </c>
      <c r="D291" s="297" t="s">
        <v>958</v>
      </c>
      <c r="E291" s="298">
        <v>11.56539828</v>
      </c>
      <c r="F291" s="298">
        <v>23.461420520000001</v>
      </c>
      <c r="G291" s="302">
        <v>1.0285873388875633</v>
      </c>
      <c r="H291" s="303">
        <v>10617.57571558</v>
      </c>
      <c r="I291" s="298">
        <v>16.724241760000002</v>
      </c>
      <c r="J291" s="298">
        <v>23.461420520000001</v>
      </c>
      <c r="K291" s="302">
        <v>0.40283911561919439</v>
      </c>
      <c r="L291" s="298">
        <v>28.60008522</v>
      </c>
      <c r="M291" s="298">
        <v>35.033084379999998</v>
      </c>
      <c r="N291" s="298">
        <v>40.655642520000001</v>
      </c>
      <c r="O291" s="306">
        <v>57.213219039999998</v>
      </c>
      <c r="P291" s="306" cm="1">
        <f t="array" ref="P291">INDEX($E$152:$E$676, MATCH($B291, $B$153:$B$676, 0) * MATCH("Brazil", $A$152:$A$676, 0))</f>
        <v>685177.29793137999</v>
      </c>
      <c r="Q291" s="306">
        <f t="shared" si="21"/>
        <v>685165.73253309994</v>
      </c>
      <c r="R291" s="336">
        <f>INDEX('Base GDP'!$A$1:$E$76,MATCH(A291,'Base GDP'!$A$1:$A$76,0),4)</f>
        <v>54050.698328470004</v>
      </c>
      <c r="S291" s="336">
        <f>INDEX('Base GDP'!$A$1:$E$76,MATCH(A291,'Base GDP'!$A$1:$A$76,0),5)</f>
        <v>72367.878986030002</v>
      </c>
      <c r="T291" s="335">
        <f t="shared" si="22"/>
        <v>3.0941768149535411E-4</v>
      </c>
      <c r="U291" s="335">
        <f t="shared" si="23"/>
        <v>3.2419660281226463E-4</v>
      </c>
      <c r="V291" s="335">
        <f t="shared" si="24"/>
        <v>1.4778921316910526E-5</v>
      </c>
    </row>
    <row r="292" spans="1:22" x14ac:dyDescent="0.45">
      <c r="A292" s="293" t="s">
        <v>152</v>
      </c>
      <c r="B292" s="297" t="s">
        <v>4</v>
      </c>
      <c r="C292" s="293" t="str">
        <f t="shared" si="20"/>
        <v>ColombiaManufacture of computer, electronic and optical products (C26)</v>
      </c>
      <c r="D292" s="297" t="s">
        <v>958</v>
      </c>
      <c r="E292" s="298">
        <v>18.186666890000001</v>
      </c>
      <c r="F292" s="298">
        <v>15.83601365</v>
      </c>
      <c r="G292" s="302">
        <v>-0.12925145955647954</v>
      </c>
      <c r="H292" s="303">
        <v>10610.954446969999</v>
      </c>
      <c r="I292" s="298">
        <v>17.927555609999999</v>
      </c>
      <c r="J292" s="298">
        <v>15.83601365</v>
      </c>
      <c r="K292" s="302">
        <v>-0.11666632113712905</v>
      </c>
      <c r="L292" s="298">
        <v>18.15424921</v>
      </c>
      <c r="M292" s="298">
        <v>20.066565659999998</v>
      </c>
      <c r="N292" s="298">
        <v>21.672393400000001</v>
      </c>
      <c r="O292" s="306">
        <v>26.088107690000001</v>
      </c>
      <c r="P292" s="306" cm="1">
        <f t="array" ref="P292">INDEX($E$152:$E$676, MATCH($B292, $B$153:$B$676, 0) * MATCH("Brazil", $A$152:$A$676, 0))</f>
        <v>685177.29793137999</v>
      </c>
      <c r="Q292" s="306">
        <f t="shared" si="21"/>
        <v>685159.11126448994</v>
      </c>
      <c r="R292" s="336">
        <f>INDEX('Base GDP'!$A$1:$E$76,MATCH(A292,'Base GDP'!$A$1:$A$76,0),4)</f>
        <v>295018.32730579999</v>
      </c>
      <c r="S292" s="336">
        <f>INDEX('Base GDP'!$A$1:$E$76,MATCH(A292,'Base GDP'!$A$1:$A$76,0),5)</f>
        <v>332655.81031924998</v>
      </c>
      <c r="T292" s="335">
        <f t="shared" si="22"/>
        <v>6.0767599673281541E-5</v>
      </c>
      <c r="U292" s="335">
        <f t="shared" si="23"/>
        <v>4.7604800994764433E-5</v>
      </c>
      <c r="V292" s="335">
        <f t="shared" si="24"/>
        <v>-1.3162798678517108E-5</v>
      </c>
    </row>
    <row r="293" spans="1:22" x14ac:dyDescent="0.45">
      <c r="A293" s="293" t="s">
        <v>172</v>
      </c>
      <c r="B293" s="297" t="s">
        <v>4</v>
      </c>
      <c r="C293" s="293" t="str">
        <f t="shared" si="20"/>
        <v>UruguayManufacture of computer, electronic and optical products (C26)</v>
      </c>
      <c r="D293" s="297" t="s">
        <v>958</v>
      </c>
      <c r="E293" s="298">
        <v>11.1984862</v>
      </c>
      <c r="F293" s="298">
        <v>14.739842230000001</v>
      </c>
      <c r="G293" s="302">
        <v>0.3162352452602033</v>
      </c>
      <c r="H293" s="303">
        <v>10617.942627659999</v>
      </c>
      <c r="I293" s="298">
        <v>15.224591309999999</v>
      </c>
      <c r="J293" s="298">
        <v>14.739842230000001</v>
      </c>
      <c r="K293" s="302">
        <v>-3.1839874721733885E-2</v>
      </c>
      <c r="L293" s="298">
        <v>21.803787499999999</v>
      </c>
      <c r="M293" s="298">
        <v>25.0270799</v>
      </c>
      <c r="N293" s="298">
        <v>27.43018679</v>
      </c>
      <c r="O293" s="306">
        <v>32.952942659999998</v>
      </c>
      <c r="P293" s="306" cm="1">
        <f t="array" ref="P293">INDEX($E$152:$E$676, MATCH($B293, $B$153:$B$676, 0) * MATCH("Brazil", $A$152:$A$676, 0))</f>
        <v>685177.29793137999</v>
      </c>
      <c r="Q293" s="306">
        <f t="shared" si="21"/>
        <v>685166.09944518004</v>
      </c>
      <c r="R293" s="336">
        <f>INDEX('Base GDP'!$A$1:$E$76,MATCH(A293,'Base GDP'!$A$1:$A$76,0),4)</f>
        <v>59449.563607900003</v>
      </c>
      <c r="S293" s="336">
        <f>INDEX('Base GDP'!$A$1:$E$76,MATCH(A293,'Base GDP'!$A$1:$A$76,0),5)</f>
        <v>61243.536031950003</v>
      </c>
      <c r="T293" s="335">
        <f t="shared" si="22"/>
        <v>2.5609256630400003E-4</v>
      </c>
      <c r="U293" s="335">
        <f t="shared" si="23"/>
        <v>2.4067588491804925E-4</v>
      </c>
      <c r="V293" s="335">
        <f t="shared" si="24"/>
        <v>-1.5416681385950785E-5</v>
      </c>
    </row>
    <row r="294" spans="1:22" x14ac:dyDescent="0.45">
      <c r="A294" s="293" t="s">
        <v>153</v>
      </c>
      <c r="B294" s="297" t="s">
        <v>4</v>
      </c>
      <c r="C294" s="293" t="str">
        <f t="shared" si="20"/>
        <v>OmanManufacture of computer, electronic and optical products (C26)</v>
      </c>
      <c r="D294" s="297" t="s">
        <v>958</v>
      </c>
      <c r="E294" s="298">
        <v>8.0580160700000008</v>
      </c>
      <c r="F294" s="298">
        <v>14.589528700000001</v>
      </c>
      <c r="G294" s="302">
        <v>0.8105608841259111</v>
      </c>
      <c r="H294" s="303">
        <v>10621.08309779</v>
      </c>
      <c r="I294" s="298">
        <v>13.13752743</v>
      </c>
      <c r="J294" s="298">
        <v>14.589528700000001</v>
      </c>
      <c r="K294" s="302">
        <v>0.11052317703895365</v>
      </c>
      <c r="L294" s="298">
        <v>17.533691130000001</v>
      </c>
      <c r="M294" s="298">
        <v>19.657544260000002</v>
      </c>
      <c r="N294" s="298">
        <v>20.791153080000001</v>
      </c>
      <c r="O294" s="306">
        <v>23.701421610000001</v>
      </c>
      <c r="P294" s="306" cm="1">
        <f t="array" ref="P294">INDEX($E$152:$E$676, MATCH($B294, $B$153:$B$676, 0) * MATCH("Brazil", $A$152:$A$676, 0))</f>
        <v>685177.29793137999</v>
      </c>
      <c r="Q294" s="306">
        <f t="shared" si="21"/>
        <v>685169.23991530994</v>
      </c>
      <c r="R294" s="336">
        <f>INDEX('Base GDP'!$A$1:$E$76,MATCH(A294,'Base GDP'!$A$1:$A$76,0),4)</f>
        <v>83456.391863790006</v>
      </c>
      <c r="S294" s="336">
        <f>INDEX('Base GDP'!$A$1:$E$76,MATCH(A294,'Base GDP'!$A$1:$A$76,0),5)</f>
        <v>87715.792114070005</v>
      </c>
      <c r="T294" s="335">
        <f t="shared" si="22"/>
        <v>1.5741786981926905E-4</v>
      </c>
      <c r="U294" s="335">
        <f t="shared" si="23"/>
        <v>1.663272752644934E-4</v>
      </c>
      <c r="V294" s="335">
        <f t="shared" si="24"/>
        <v>8.9094054452243561E-6</v>
      </c>
    </row>
    <row r="295" spans="1:22" x14ac:dyDescent="0.45">
      <c r="A295" s="293" t="s">
        <v>174</v>
      </c>
      <c r="B295" s="297" t="s">
        <v>4</v>
      </c>
      <c r="C295" s="293" t="str">
        <f t="shared" si="20"/>
        <v>Sri LankaManufacture of computer, electronic and optical products (C26)</v>
      </c>
      <c r="D295" s="297" t="s">
        <v>958</v>
      </c>
      <c r="E295" s="298">
        <v>6.0025886100000001</v>
      </c>
      <c r="F295" s="298">
        <v>11.02301331</v>
      </c>
      <c r="G295" s="302">
        <v>0.83637660785818868</v>
      </c>
      <c r="H295" s="303">
        <v>10623.13852525</v>
      </c>
      <c r="I295" s="298">
        <v>9.0870070700000003</v>
      </c>
      <c r="J295" s="298">
        <v>11.02301331</v>
      </c>
      <c r="K295" s="302">
        <v>0.21305213312660043</v>
      </c>
      <c r="L295" s="298">
        <v>11.020620900000001</v>
      </c>
      <c r="M295" s="298">
        <v>13.289818</v>
      </c>
      <c r="N295" s="298">
        <v>15.18536583</v>
      </c>
      <c r="O295" s="306">
        <v>20.11877123</v>
      </c>
      <c r="P295" s="306" cm="1">
        <f t="array" ref="P295">INDEX($E$152:$E$676, MATCH($B295, $B$153:$B$676, 0) * MATCH("Brazil", $A$152:$A$676, 0))</f>
        <v>685177.29793137999</v>
      </c>
      <c r="Q295" s="306">
        <f t="shared" si="21"/>
        <v>685171.29534276994</v>
      </c>
      <c r="R295" s="336">
        <f>INDEX('Base GDP'!$A$1:$E$76,MATCH(A295,'Base GDP'!$A$1:$A$76,0),4)</f>
        <v>77969.257644440004</v>
      </c>
      <c r="S295" s="336">
        <f>INDEX('Base GDP'!$A$1:$E$76,MATCH(A295,'Base GDP'!$A$1:$A$76,0),5)</f>
        <v>87884.425158479993</v>
      </c>
      <c r="T295" s="335">
        <f t="shared" si="22"/>
        <v>1.1654602524804205E-4</v>
      </c>
      <c r="U295" s="335">
        <f t="shared" si="23"/>
        <v>1.2542624350244595E-4</v>
      </c>
      <c r="V295" s="335">
        <f t="shared" si="24"/>
        <v>8.8802182544038988E-6</v>
      </c>
    </row>
    <row r="296" spans="1:22" x14ac:dyDescent="0.45">
      <c r="A296" s="293" t="s">
        <v>102</v>
      </c>
      <c r="B296" s="297" t="s">
        <v>4</v>
      </c>
      <c r="C296" s="293" t="str">
        <f t="shared" si="20"/>
        <v>NigeriaManufacture of computer, electronic and optical products (C26)</v>
      </c>
      <c r="D296" s="297" t="s">
        <v>958</v>
      </c>
      <c r="E296" s="298">
        <v>8.0136080500000002</v>
      </c>
      <c r="F296" s="298">
        <v>9.7251573100000002</v>
      </c>
      <c r="G296" s="302">
        <v>0.21358035597960146</v>
      </c>
      <c r="H296" s="303">
        <v>10621.12750581</v>
      </c>
      <c r="I296" s="298">
        <v>13.260142800000001</v>
      </c>
      <c r="J296" s="298">
        <v>9.7251573100000002</v>
      </c>
      <c r="K296" s="302">
        <v>-0.26658728667688258</v>
      </c>
      <c r="L296" s="298">
        <v>10.595956709999999</v>
      </c>
      <c r="M296" s="298">
        <v>11.828549689999999</v>
      </c>
      <c r="N296" s="298">
        <v>12.947155049999999</v>
      </c>
      <c r="O296" s="306">
        <v>15.644075089999999</v>
      </c>
      <c r="P296" s="306" cm="1">
        <f t="array" ref="P296">INDEX($E$152:$E$676, MATCH($B296, $B$153:$B$676, 0) * MATCH("Brazil", $A$152:$A$676, 0))</f>
        <v>685177.29793137999</v>
      </c>
      <c r="Q296" s="306">
        <f t="shared" si="21"/>
        <v>685169.28432333004</v>
      </c>
      <c r="R296" s="336">
        <f>INDEX('Base GDP'!$A$1:$E$76,MATCH(A296,'Base GDP'!$A$1:$A$76,0),4)</f>
        <v>460034.71302222001</v>
      </c>
      <c r="S296" s="336">
        <f>INDEX('Base GDP'!$A$1:$E$76,MATCH(A296,'Base GDP'!$A$1:$A$76,0),5)</f>
        <v>483780.49839321</v>
      </c>
      <c r="T296" s="335">
        <f t="shared" si="22"/>
        <v>2.8824222226376919E-5</v>
      </c>
      <c r="U296" s="335">
        <f t="shared" si="23"/>
        <v>2.0102416989317186E-5</v>
      </c>
      <c r="V296" s="335">
        <f t="shared" si="24"/>
        <v>-8.7218052370597331E-6</v>
      </c>
    </row>
    <row r="297" spans="1:22" x14ac:dyDescent="0.45">
      <c r="A297" s="293" t="s">
        <v>177</v>
      </c>
      <c r="B297" s="297" t="s">
        <v>4</v>
      </c>
      <c r="C297" s="293" t="str">
        <f t="shared" si="20"/>
        <v>BoliviaManufacture of computer, electronic and optical products (C26)</v>
      </c>
      <c r="D297" s="297" t="s">
        <v>958</v>
      </c>
      <c r="E297" s="298">
        <v>2.9516647800000002</v>
      </c>
      <c r="F297" s="298">
        <v>4.19761673</v>
      </c>
      <c r="G297" s="302">
        <v>0.42211837822586329</v>
      </c>
      <c r="H297" s="303">
        <v>10626.18944908</v>
      </c>
      <c r="I297" s="298">
        <v>3.71222261</v>
      </c>
      <c r="J297" s="298">
        <v>4.19761673</v>
      </c>
      <c r="K297" s="302">
        <v>0.13075566069029465</v>
      </c>
      <c r="L297" s="298">
        <v>4.9966469900000003</v>
      </c>
      <c r="M297" s="298">
        <v>5.4942354199999999</v>
      </c>
      <c r="N297" s="298">
        <v>5.9025934099999997</v>
      </c>
      <c r="O297" s="306">
        <v>6.8817613199999998</v>
      </c>
      <c r="P297" s="306" cm="1">
        <f t="array" ref="P297">INDEX($E$152:$E$676, MATCH($B297, $B$153:$B$676, 0) * MATCH("Brazil", $A$152:$A$676, 0))</f>
        <v>685177.29793137999</v>
      </c>
      <c r="Q297" s="306">
        <f t="shared" si="21"/>
        <v>685174.34626659995</v>
      </c>
      <c r="R297" s="336">
        <f>INDEX('Base GDP'!$A$1:$E$76,MATCH(A297,'Base GDP'!$A$1:$A$76,0),4)</f>
        <v>35334.894672080001</v>
      </c>
      <c r="S297" s="336">
        <f>INDEX('Base GDP'!$A$1:$E$76,MATCH(A297,'Base GDP'!$A$1:$A$76,0),5)</f>
        <v>39600.741188879998</v>
      </c>
      <c r="T297" s="335">
        <f t="shared" si="22"/>
        <v>1.0505826165468172E-4</v>
      </c>
      <c r="U297" s="335">
        <f t="shared" si="23"/>
        <v>1.0599843851353729E-4</v>
      </c>
      <c r="V297" s="335">
        <f t="shared" si="24"/>
        <v>9.4017685885556472E-7</v>
      </c>
    </row>
    <row r="298" spans="1:22" x14ac:dyDescent="0.45">
      <c r="A298" s="293" t="s">
        <v>178</v>
      </c>
      <c r="B298" s="297" t="s">
        <v>4</v>
      </c>
      <c r="C298" s="293" t="str">
        <f t="shared" si="20"/>
        <v>SenegalManufacture of computer, electronic and optical products (C26)</v>
      </c>
      <c r="D298" s="297" t="s">
        <v>958</v>
      </c>
      <c r="E298" s="298">
        <v>2.4903821000000002</v>
      </c>
      <c r="F298" s="298">
        <v>3.9268037499999999</v>
      </c>
      <c r="G298" s="302">
        <v>0.57678765439247237</v>
      </c>
      <c r="H298" s="303">
        <v>10626.650731759999</v>
      </c>
      <c r="I298" s="298">
        <v>2.9425451900000001</v>
      </c>
      <c r="J298" s="298">
        <v>3.9268037499999999</v>
      </c>
      <c r="K298" s="302">
        <v>0.33449224954808576</v>
      </c>
      <c r="L298" s="298">
        <v>5.4005758999999998</v>
      </c>
      <c r="M298" s="298">
        <v>6.14432037</v>
      </c>
      <c r="N298" s="298">
        <v>6.7504841500000001</v>
      </c>
      <c r="O298" s="306">
        <v>8.4169917299999994</v>
      </c>
      <c r="P298" s="306" cm="1">
        <f t="array" ref="P298">INDEX($E$152:$E$676, MATCH($B298, $B$153:$B$676, 0) * MATCH("Brazil", $A$152:$A$676, 0))</f>
        <v>685177.29793137999</v>
      </c>
      <c r="Q298" s="306">
        <f t="shared" si="21"/>
        <v>685174.80754928</v>
      </c>
      <c r="R298" s="336">
        <f>INDEX('Base GDP'!$A$1:$E$76,MATCH(A298,'Base GDP'!$A$1:$A$76,0),4)</f>
        <v>18437.455260710001</v>
      </c>
      <c r="S298" s="336">
        <f>INDEX('Base GDP'!$A$1:$E$76,MATCH(A298,'Base GDP'!$A$1:$A$76,0),5)</f>
        <v>25150.80803964</v>
      </c>
      <c r="T298" s="335">
        <f t="shared" si="22"/>
        <v>1.5959605858789684E-4</v>
      </c>
      <c r="U298" s="335">
        <f t="shared" si="23"/>
        <v>1.5613032169030093E-4</v>
      </c>
      <c r="V298" s="335">
        <f t="shared" si="24"/>
        <v>-3.4657368975959165E-6</v>
      </c>
    </row>
    <row r="299" spans="1:22" x14ac:dyDescent="0.45">
      <c r="A299" s="293" t="s">
        <v>171</v>
      </c>
      <c r="B299" s="297" t="s">
        <v>4</v>
      </c>
      <c r="C299" s="293" t="str">
        <f t="shared" si="20"/>
        <v>CameroonManufacture of computer, electronic and optical products (C26)</v>
      </c>
      <c r="D299" s="297" t="s">
        <v>958</v>
      </c>
      <c r="E299" s="298">
        <v>1.3187021000000001</v>
      </c>
      <c r="F299" s="298">
        <v>1.6366284799999999</v>
      </c>
      <c r="G299" s="302">
        <v>0.24109037211664397</v>
      </c>
      <c r="H299" s="303">
        <v>10627.82241176</v>
      </c>
      <c r="I299" s="298">
        <v>1.46514857</v>
      </c>
      <c r="J299" s="298">
        <v>1.6366284799999999</v>
      </c>
      <c r="K299" s="302">
        <v>0.11703926380653673</v>
      </c>
      <c r="L299" s="298">
        <v>1.9519061099999999</v>
      </c>
      <c r="M299" s="298">
        <v>2.2082560500000001</v>
      </c>
      <c r="N299" s="298">
        <v>2.3610607799999999</v>
      </c>
      <c r="O299" s="306">
        <v>2.7367043299999998</v>
      </c>
      <c r="P299" s="306" cm="1">
        <f t="array" ref="P299">INDEX($E$152:$E$676, MATCH($B299, $B$153:$B$676, 0) * MATCH("Brazil", $A$152:$A$676, 0))</f>
        <v>685177.29793137999</v>
      </c>
      <c r="Q299" s="306">
        <f t="shared" si="21"/>
        <v>685175.97922928003</v>
      </c>
      <c r="R299" s="336">
        <f>INDEX('Base GDP'!$A$1:$E$76,MATCH(A299,'Base GDP'!$A$1:$A$76,0),4)</f>
        <v>34069.891642009999</v>
      </c>
      <c r="S299" s="336">
        <f>INDEX('Base GDP'!$A$1:$E$76,MATCH(A299,'Base GDP'!$A$1:$A$76,0),5)</f>
        <v>41316.84413338</v>
      </c>
      <c r="T299" s="335">
        <f t="shared" si="22"/>
        <v>4.3004203987352675E-5</v>
      </c>
      <c r="U299" s="335">
        <f t="shared" si="23"/>
        <v>3.9611652688588646E-5</v>
      </c>
      <c r="V299" s="335">
        <f t="shared" si="24"/>
        <v>-3.3925512987640293E-6</v>
      </c>
    </row>
    <row r="300" spans="1:22" x14ac:dyDescent="0.45">
      <c r="A300" s="293" t="s">
        <v>173</v>
      </c>
      <c r="B300" s="297" t="s">
        <v>4</v>
      </c>
      <c r="C300" s="293" t="str">
        <f t="shared" si="20"/>
        <v>PanamaManufacture of computer, electronic and optical products (C26)</v>
      </c>
      <c r="D300" s="297" t="s">
        <v>958</v>
      </c>
      <c r="E300" s="298">
        <v>6.9327459999999994E-2</v>
      </c>
      <c r="F300" s="298">
        <v>0.12118014000000001</v>
      </c>
      <c r="G300" s="302">
        <v>0.74793855133305076</v>
      </c>
      <c r="H300" s="303">
        <v>10629.0717864</v>
      </c>
      <c r="I300" s="298">
        <v>0.11735275000000001</v>
      </c>
      <c r="J300" s="298">
        <v>0.12118014000000001</v>
      </c>
      <c r="K300" s="302">
        <v>3.2614404008427522E-2</v>
      </c>
      <c r="L300" s="298">
        <v>0.1288001</v>
      </c>
      <c r="M300" s="298">
        <v>0.13762806</v>
      </c>
      <c r="N300" s="298">
        <v>0.14420711</v>
      </c>
      <c r="O300" s="306">
        <v>0.15928199000000001</v>
      </c>
      <c r="P300" s="306" cm="1">
        <f t="array" ref="P300">INDEX($E$152:$E$676, MATCH($B300, $B$153:$B$676, 0) * MATCH("Brazil", $A$152:$A$676, 0))</f>
        <v>685177.29793137999</v>
      </c>
      <c r="Q300" s="306">
        <f t="shared" si="21"/>
        <v>685177.22860391997</v>
      </c>
      <c r="R300" s="336">
        <f>INDEX('Base GDP'!$A$1:$E$76,MATCH(A300,'Base GDP'!$A$1:$A$76,0),4)</f>
        <v>58921.61186117</v>
      </c>
      <c r="S300" s="336">
        <f>INDEX('Base GDP'!$A$1:$E$76,MATCH(A300,'Base GDP'!$A$1:$A$76,0),5)</f>
        <v>65983.988595749994</v>
      </c>
      <c r="T300" s="335">
        <f t="shared" si="22"/>
        <v>1.9916758264608301E-6</v>
      </c>
      <c r="U300" s="335">
        <f t="shared" si="23"/>
        <v>1.8365082587293788E-6</v>
      </c>
      <c r="V300" s="335">
        <f t="shared" si="24"/>
        <v>-1.5516756773145127E-7</v>
      </c>
    </row>
    <row r="301" spans="1:22" x14ac:dyDescent="0.45">
      <c r="A301" s="293" t="s">
        <v>179</v>
      </c>
      <c r="B301" s="297" t="s">
        <v>4</v>
      </c>
      <c r="C301" s="293" t="str">
        <f t="shared" si="20"/>
        <v>WorldManufacture of computer, electronic and optical products (C26)</v>
      </c>
      <c r="D301" s="297" t="s">
        <v>958</v>
      </c>
      <c r="E301" s="298">
        <v>760575.62896687002</v>
      </c>
      <c r="F301" s="298">
        <v>1405492.6999510999</v>
      </c>
      <c r="G301" s="302">
        <v>0.84793286350793906</v>
      </c>
      <c r="H301" s="303">
        <v>749946.48785301007</v>
      </c>
      <c r="I301" s="298">
        <v>959653.88853768003</v>
      </c>
      <c r="J301" s="298">
        <v>1405492.6999510999</v>
      </c>
      <c r="K301" s="302">
        <v>0.46458292592633454</v>
      </c>
      <c r="L301" s="298">
        <v>1675823.9072159</v>
      </c>
      <c r="M301" s="298">
        <v>1987394.9809146</v>
      </c>
      <c r="N301" s="298">
        <v>2232342.1964995</v>
      </c>
      <c r="O301" s="306">
        <v>2857064.0296294</v>
      </c>
      <c r="P301" s="306" cm="1">
        <f t="array" ref="P301">INDEX($E$152:$E$676, MATCH($B301, $B$153:$B$676, 0) * MATCH("Brazil", $A$152:$A$676, 0))</f>
        <v>685177.29793137999</v>
      </c>
      <c r="Q301" s="306">
        <f t="shared" si="21"/>
        <v>-75398.331035490031</v>
      </c>
      <c r="R301" s="336">
        <f>INDEX('Base GDP'!$A$1:$E$76,MATCH(A301,'Base GDP'!$A$1:$A$76,0),4)</f>
        <v>74892116.540485993</v>
      </c>
      <c r="S301" s="336">
        <f>INDEX('Base GDP'!$A$1:$E$76,MATCH(A301,'Base GDP'!$A$1:$A$76,0),5)</f>
        <v>87029234.955234006</v>
      </c>
      <c r="T301" s="335">
        <f t="shared" si="22"/>
        <v>1.2813817166175294E-2</v>
      </c>
      <c r="U301" s="335">
        <f t="shared" si="23"/>
        <v>1.6149661670288789E-2</v>
      </c>
      <c r="V301" s="335">
        <f t="shared" si="24"/>
        <v>3.335844504113495E-3</v>
      </c>
    </row>
    <row r="302" spans="1:22" x14ac:dyDescent="0.45">
      <c r="A302" s="294" t="s">
        <v>18</v>
      </c>
      <c r="B302" s="299" t="s">
        <v>5</v>
      </c>
      <c r="C302" s="293" t="str">
        <f t="shared" si="20"/>
        <v>BrazilManufacture of electrical equipment (C27)</v>
      </c>
      <c r="D302" s="297" t="s">
        <v>958</v>
      </c>
      <c r="E302" s="300">
        <v>11000.9308432</v>
      </c>
      <c r="F302" s="300">
        <v>7914.0344711799999</v>
      </c>
      <c r="G302" s="304">
        <v>-0.2806031976765041</v>
      </c>
      <c r="H302" s="305">
        <v>0</v>
      </c>
      <c r="I302" s="300">
        <v>8596.9176595699992</v>
      </c>
      <c r="J302" s="300">
        <v>7914.0344711799999</v>
      </c>
      <c r="K302" s="304">
        <v>-7.9433491796890854E-2</v>
      </c>
      <c r="L302" s="300">
        <v>7292.2451456299996</v>
      </c>
      <c r="M302" s="300">
        <v>8233.6853015600009</v>
      </c>
      <c r="N302" s="300">
        <v>9005.8993347399992</v>
      </c>
      <c r="O302" s="307">
        <v>10864.456822870001</v>
      </c>
      <c r="P302" s="306" cm="1">
        <f t="array" ref="P302">INDEX($E$302:$E$676, MATCH($B302, $B$302:$B$676, 0) * MATCH("Brazil", $A$302:$A$676, 0))</f>
        <v>11000.9308432</v>
      </c>
      <c r="Q302" s="306">
        <f t="shared" si="21"/>
        <v>0</v>
      </c>
      <c r="R302" s="336">
        <f>INDEX('Base GDP'!$A$1:$E$76,MATCH(A302,'Base GDP'!$A$1:$A$76,0),4)</f>
        <v>1855726.8356911</v>
      </c>
      <c r="S302" s="336">
        <f>INDEX('Base GDP'!$A$1:$E$76,MATCH(A302,'Base GDP'!$A$1:$A$76,0),5)</f>
        <v>1898091.4722179</v>
      </c>
      <c r="T302" s="335">
        <f t="shared" si="22"/>
        <v>4.6326417736845303E-3</v>
      </c>
      <c r="U302" s="335">
        <f t="shared" si="23"/>
        <v>4.1694694839614519E-3</v>
      </c>
      <c r="V302" s="335">
        <f t="shared" si="24"/>
        <v>-4.631722897230784E-4</v>
      </c>
    </row>
    <row r="303" spans="1:22" x14ac:dyDescent="0.45">
      <c r="A303" s="293" t="s">
        <v>70</v>
      </c>
      <c r="B303" s="297" t="s">
        <v>5</v>
      </c>
      <c r="C303" s="293" t="str">
        <f t="shared" si="20"/>
        <v>IndiaManufacture of electrical equipment (C27)</v>
      </c>
      <c r="D303" s="297" t="s">
        <v>958</v>
      </c>
      <c r="E303" s="298">
        <v>7445.6949336099997</v>
      </c>
      <c r="F303" s="298">
        <v>7846.3864935800002</v>
      </c>
      <c r="G303" s="302">
        <v>5.3815199728540097E-2</v>
      </c>
      <c r="H303" s="303">
        <v>3555.2359095900001</v>
      </c>
      <c r="I303" s="298">
        <v>8051.3466163700004</v>
      </c>
      <c r="J303" s="298">
        <v>7846.3864935800002</v>
      </c>
      <c r="K303" s="302">
        <v>-2.5456626395052417E-2</v>
      </c>
      <c r="L303" s="298">
        <v>8883.9994001199993</v>
      </c>
      <c r="M303" s="298">
        <v>10821.516471680001</v>
      </c>
      <c r="N303" s="298">
        <v>12348.684274609999</v>
      </c>
      <c r="O303" s="306">
        <v>16265.28342799</v>
      </c>
      <c r="P303" s="306" cm="1">
        <f t="array" ref="P303">INDEX($E$302:$E$676, MATCH($B303, $B$302:$B$676, 0) * MATCH("Brazil", $A$302:$A$676, 0))</f>
        <v>11000.9308432</v>
      </c>
      <c r="Q303" s="306">
        <f t="shared" si="21"/>
        <v>3555.2359095900001</v>
      </c>
      <c r="R303" s="336">
        <f>INDEX('Base GDP'!$A$1:$E$76,MATCH(A303,'Base GDP'!$A$1:$A$76,0),4)</f>
        <v>2233583.9807687998</v>
      </c>
      <c r="S303" s="336">
        <f>INDEX('Base GDP'!$A$1:$E$76,MATCH(A303,'Base GDP'!$A$1:$A$76,0),5)</f>
        <v>2928405.219999</v>
      </c>
      <c r="T303" s="335">
        <f t="shared" si="22"/>
        <v>3.6046760210013355E-3</v>
      </c>
      <c r="U303" s="335">
        <f t="shared" si="23"/>
        <v>2.6794059920377685E-3</v>
      </c>
      <c r="V303" s="335">
        <f t="shared" si="24"/>
        <v>-9.2527002896356696E-4</v>
      </c>
    </row>
    <row r="304" spans="1:22" x14ac:dyDescent="0.45">
      <c r="A304" s="293" t="s">
        <v>97</v>
      </c>
      <c r="B304" s="297" t="s">
        <v>5</v>
      </c>
      <c r="C304" s="293" t="str">
        <f t="shared" si="20"/>
        <v>FranceManufacture of electrical equipment (C27)</v>
      </c>
      <c r="D304" s="297" t="s">
        <v>958</v>
      </c>
      <c r="E304" s="298">
        <v>8665.1238295999992</v>
      </c>
      <c r="F304" s="298">
        <v>7699.3337382399995</v>
      </c>
      <c r="G304" s="302">
        <v>-0.11145715979970972</v>
      </c>
      <c r="H304" s="303">
        <v>2335.8070136000006</v>
      </c>
      <c r="I304" s="298">
        <v>7712.8257047799998</v>
      </c>
      <c r="J304" s="298">
        <v>7699.3337382399995</v>
      </c>
      <c r="K304" s="302">
        <v>-1.7492896969834026E-3</v>
      </c>
      <c r="L304" s="298">
        <v>7850.8616743100001</v>
      </c>
      <c r="M304" s="298">
        <v>8154.4102509799995</v>
      </c>
      <c r="N304" s="298">
        <v>8415.5853949100001</v>
      </c>
      <c r="O304" s="306">
        <v>9131.4018842999994</v>
      </c>
      <c r="P304" s="306" cm="1">
        <f t="array" ref="P304">INDEX($E$302:$E$676, MATCH($B304, $B$302:$B$676, 0) * MATCH("Brazil", $A$302:$A$676, 0))</f>
        <v>11000.9308432</v>
      </c>
      <c r="Q304" s="306">
        <f t="shared" si="21"/>
        <v>2335.8070136000006</v>
      </c>
      <c r="R304" s="336">
        <f>INDEX('Base GDP'!$A$1:$E$76,MATCH(A304,'Base GDP'!$A$1:$A$76,0),4)</f>
        <v>2544956.5086996001</v>
      </c>
      <c r="S304" s="336">
        <f>INDEX('Base GDP'!$A$1:$E$76,MATCH(A304,'Base GDP'!$A$1:$A$76,0),5)</f>
        <v>2682424.2983101001</v>
      </c>
      <c r="T304" s="335">
        <f t="shared" si="22"/>
        <v>3.0306316349276367E-3</v>
      </c>
      <c r="U304" s="335">
        <f t="shared" si="23"/>
        <v>2.87028929132893E-3</v>
      </c>
      <c r="V304" s="335">
        <f t="shared" si="24"/>
        <v>-1.6034234359870673E-4</v>
      </c>
    </row>
    <row r="305" spans="1:22" x14ac:dyDescent="0.45">
      <c r="A305" s="293" t="s">
        <v>75</v>
      </c>
      <c r="B305" s="297" t="s">
        <v>5</v>
      </c>
      <c r="C305" s="293" t="str">
        <f t="shared" si="20"/>
        <v>MexicoManufacture of electrical equipment (C27)</v>
      </c>
      <c r="D305" s="297" t="s">
        <v>958</v>
      </c>
      <c r="E305" s="298">
        <v>6139.5432518899997</v>
      </c>
      <c r="F305" s="298">
        <v>7534.5558912099996</v>
      </c>
      <c r="G305" s="302">
        <v>0.22721765807099059</v>
      </c>
      <c r="H305" s="303">
        <v>4861.3875913100001</v>
      </c>
      <c r="I305" s="298">
        <v>6689.2608577600004</v>
      </c>
      <c r="J305" s="298">
        <v>7534.5558912099996</v>
      </c>
      <c r="K305" s="302">
        <v>0.12636598443748825</v>
      </c>
      <c r="L305" s="298">
        <v>8740.5366396299996</v>
      </c>
      <c r="M305" s="298">
        <v>9902.4630667700003</v>
      </c>
      <c r="N305" s="298">
        <v>10808.91778281</v>
      </c>
      <c r="O305" s="306">
        <v>13230.82215987</v>
      </c>
      <c r="P305" s="306" cm="1">
        <f t="array" ref="P305">INDEX($E$302:$E$676, MATCH($B305, $B$302:$B$676, 0) * MATCH("Brazil", $A$302:$A$676, 0))</f>
        <v>11000.9308432</v>
      </c>
      <c r="Q305" s="306">
        <f t="shared" si="21"/>
        <v>4861.3875913100001</v>
      </c>
      <c r="R305" s="336">
        <f>INDEX('Base GDP'!$A$1:$E$76,MATCH(A305,'Base GDP'!$A$1:$A$76,0),4)</f>
        <v>1239119.2771185001</v>
      </c>
      <c r="S305" s="336">
        <f>INDEX('Base GDP'!$A$1:$E$76,MATCH(A305,'Base GDP'!$A$1:$A$76,0),5)</f>
        <v>1262038.2891611001</v>
      </c>
      <c r="T305" s="335">
        <f t="shared" si="22"/>
        <v>5.3983994771798624E-3</v>
      </c>
      <c r="U305" s="335">
        <f t="shared" si="23"/>
        <v>5.9701484146082104E-3</v>
      </c>
      <c r="V305" s="335">
        <f t="shared" si="24"/>
        <v>5.7174893742834802E-4</v>
      </c>
    </row>
    <row r="306" spans="1:22" x14ac:dyDescent="0.45">
      <c r="A306" s="293" t="s">
        <v>76</v>
      </c>
      <c r="B306" s="297" t="s">
        <v>5</v>
      </c>
      <c r="C306" s="293" t="str">
        <f t="shared" si="20"/>
        <v>United KingdomManufacture of electrical equipment (C27)</v>
      </c>
      <c r="D306" s="297" t="s">
        <v>958</v>
      </c>
      <c r="E306" s="298">
        <v>5298.7017397999998</v>
      </c>
      <c r="F306" s="298">
        <v>6185.6390057299996</v>
      </c>
      <c r="G306" s="302">
        <v>0.16738765635136077</v>
      </c>
      <c r="H306" s="303">
        <v>5702.2291034</v>
      </c>
      <c r="I306" s="298">
        <v>5540.1205353599998</v>
      </c>
      <c r="J306" s="298">
        <v>6185.6390057299996</v>
      </c>
      <c r="K306" s="302">
        <v>0.1165170443946042</v>
      </c>
      <c r="L306" s="298">
        <v>5073.8214386600002</v>
      </c>
      <c r="M306" s="298">
        <v>5338.5599770299996</v>
      </c>
      <c r="N306" s="298">
        <v>5531.5709186200002</v>
      </c>
      <c r="O306" s="306">
        <v>6065.7664809500002</v>
      </c>
      <c r="P306" s="306" cm="1">
        <f t="array" ref="P306">INDEX($E$302:$E$676, MATCH($B306, $B$302:$B$676, 0) * MATCH("Brazil", $A$302:$A$676, 0))</f>
        <v>11000.9308432</v>
      </c>
      <c r="Q306" s="306">
        <f t="shared" si="21"/>
        <v>5702.2291034</v>
      </c>
      <c r="R306" s="336">
        <f>INDEX('Base GDP'!$A$1:$E$76,MATCH(A306,'Base GDP'!$A$1:$A$76,0),4)</f>
        <v>2643868.3114987002</v>
      </c>
      <c r="S306" s="336">
        <f>INDEX('Base GDP'!$A$1:$E$76,MATCH(A306,'Base GDP'!$A$1:$A$76,0),5)</f>
        <v>2777419.6130784</v>
      </c>
      <c r="T306" s="335">
        <f t="shared" si="22"/>
        <v>2.0954600920420024E-3</v>
      </c>
      <c r="U306" s="335">
        <f t="shared" si="23"/>
        <v>2.2271172049779116E-3</v>
      </c>
      <c r="V306" s="335">
        <f t="shared" si="24"/>
        <v>1.3165711293590919E-4</v>
      </c>
    </row>
    <row r="307" spans="1:22" x14ac:dyDescent="0.45">
      <c r="A307" s="293" t="s">
        <v>72</v>
      </c>
      <c r="B307" s="297" t="s">
        <v>5</v>
      </c>
      <c r="C307" s="293" t="str">
        <f t="shared" si="20"/>
        <v>AustriaManufacture of electrical equipment (C27)</v>
      </c>
      <c r="D307" s="297" t="s">
        <v>958</v>
      </c>
      <c r="E307" s="298">
        <v>5140.6440112299997</v>
      </c>
      <c r="F307" s="298">
        <v>6440.2840800499998</v>
      </c>
      <c r="G307" s="302">
        <v>0.25281658601157164</v>
      </c>
      <c r="H307" s="303">
        <v>5860.2868319700001</v>
      </c>
      <c r="I307" s="298">
        <v>5260.2476380300004</v>
      </c>
      <c r="J307" s="298">
        <v>6440.2840800499998</v>
      </c>
      <c r="K307" s="302">
        <v>0.22433096751732617</v>
      </c>
      <c r="L307" s="298">
        <v>7995.6496806499999</v>
      </c>
      <c r="M307" s="298">
        <v>8478.7864558500005</v>
      </c>
      <c r="N307" s="298">
        <v>8945.6377595600006</v>
      </c>
      <c r="O307" s="306">
        <v>10345.954733160001</v>
      </c>
      <c r="P307" s="306" cm="1">
        <f t="array" ref="P307">INDEX($E$302:$E$676, MATCH($B307, $B$302:$B$676, 0) * MATCH("Brazil", $A$302:$A$676, 0))</f>
        <v>11000.9308432</v>
      </c>
      <c r="Q307" s="306">
        <f t="shared" si="21"/>
        <v>5860.2868319700001</v>
      </c>
      <c r="R307" s="336">
        <f>INDEX('Base GDP'!$A$1:$E$76,MATCH(A307,'Base GDP'!$A$1:$A$76,0),4)</f>
        <v>410010.85265116999</v>
      </c>
      <c r="S307" s="336">
        <f>INDEX('Base GDP'!$A$1:$E$76,MATCH(A307,'Base GDP'!$A$1:$A$76,0),5)</f>
        <v>432694.04992214998</v>
      </c>
      <c r="T307" s="335">
        <f t="shared" si="22"/>
        <v>1.2829532691675668E-2</v>
      </c>
      <c r="U307" s="335">
        <f t="shared" si="23"/>
        <v>1.4884152165274127E-2</v>
      </c>
      <c r="V307" s="335">
        <f t="shared" si="24"/>
        <v>2.0546194735984596E-3</v>
      </c>
    </row>
    <row r="308" spans="1:22" x14ac:dyDescent="0.45">
      <c r="A308" s="293" t="s">
        <v>73</v>
      </c>
      <c r="B308" s="297" t="s">
        <v>5</v>
      </c>
      <c r="C308" s="293" t="str">
        <f t="shared" si="20"/>
        <v>TaiwanManufacture of electrical equipment (C27)</v>
      </c>
      <c r="D308" s="297" t="s">
        <v>958</v>
      </c>
      <c r="E308" s="298">
        <v>5199.6977512800004</v>
      </c>
      <c r="F308" s="298">
        <v>6374.6856817099997</v>
      </c>
      <c r="G308" s="302">
        <v>0.22597235197771925</v>
      </c>
      <c r="H308" s="303">
        <v>5801.2330919199994</v>
      </c>
      <c r="I308" s="298">
        <v>5259.5655513800002</v>
      </c>
      <c r="J308" s="298">
        <v>6374.6856817099997</v>
      </c>
      <c r="K308" s="302">
        <v>0.2120175363224468</v>
      </c>
      <c r="L308" s="298">
        <v>6058.1192134499997</v>
      </c>
      <c r="M308" s="298">
        <v>6604.7409893699996</v>
      </c>
      <c r="N308" s="298">
        <v>7007.6803304799996</v>
      </c>
      <c r="O308" s="306">
        <v>8024.5272793000004</v>
      </c>
      <c r="P308" s="306" cm="1">
        <f t="array" ref="P308">INDEX($E$302:$E$676, MATCH($B308, $B$302:$B$676, 0) * MATCH("Brazil", $A$302:$A$676, 0))</f>
        <v>11000.9308432</v>
      </c>
      <c r="Q308" s="306">
        <f t="shared" si="21"/>
        <v>5801.2330919199994</v>
      </c>
      <c r="R308" s="336">
        <f>INDEX('Base GDP'!$A$1:$E$76,MATCH(A308,'Base GDP'!$A$1:$A$76,0),4)</f>
        <v>546880.06131035998</v>
      </c>
      <c r="S308" s="336">
        <f>INDEX('Base GDP'!$A$1:$E$76,MATCH(A308,'Base GDP'!$A$1:$A$76,0),5)</f>
        <v>674049.24440882006</v>
      </c>
      <c r="T308" s="335">
        <f t="shared" si="22"/>
        <v>9.6174022852062689E-3</v>
      </c>
      <c r="U308" s="335">
        <f t="shared" si="23"/>
        <v>9.4572996477445288E-3</v>
      </c>
      <c r="V308" s="335">
        <f t="shared" si="24"/>
        <v>-1.6010263746174015E-4</v>
      </c>
    </row>
    <row r="309" spans="1:22" x14ac:dyDescent="0.45">
      <c r="A309" s="293" t="s">
        <v>101</v>
      </c>
      <c r="B309" s="297" t="s">
        <v>5</v>
      </c>
      <c r="C309" s="293" t="str">
        <f t="shared" si="20"/>
        <v>ItalyManufacture of electrical equipment (C27)</v>
      </c>
      <c r="D309" s="297" t="s">
        <v>958</v>
      </c>
      <c r="E309" s="298">
        <v>15346.093660119999</v>
      </c>
      <c r="F309" s="298">
        <v>13737.088025139999</v>
      </c>
      <c r="G309" s="302">
        <v>-0.10484789618880885</v>
      </c>
      <c r="H309" s="303">
        <v>4345.1628169199994</v>
      </c>
      <c r="I309" s="298">
        <v>12124.36184872</v>
      </c>
      <c r="J309" s="298">
        <v>13737.088025139999</v>
      </c>
      <c r="K309" s="302">
        <v>0.13301534518208546</v>
      </c>
      <c r="L309" s="298">
        <v>13524.623542879999</v>
      </c>
      <c r="M309" s="298">
        <v>14159.57765635</v>
      </c>
      <c r="N309" s="298">
        <v>14705.247246680001</v>
      </c>
      <c r="O309" s="306">
        <v>15827.489312080001</v>
      </c>
      <c r="P309" s="306" cm="1">
        <f t="array" ref="P309">INDEX($E$302:$E$676, MATCH($B309, $B$302:$B$676, 0) * MATCH("Brazil", $A$302:$A$676, 0))</f>
        <v>11000.9308432</v>
      </c>
      <c r="Q309" s="306">
        <f t="shared" si="21"/>
        <v>-4345.1628169199994</v>
      </c>
      <c r="R309" s="336">
        <f>INDEX('Base GDP'!$A$1:$E$76,MATCH(A309,'Base GDP'!$A$1:$A$76,0),4)</f>
        <v>1924364.2462229</v>
      </c>
      <c r="S309" s="336">
        <f>INDEX('Base GDP'!$A$1:$E$76,MATCH(A309,'Base GDP'!$A$1:$A$76,0),5)</f>
        <v>1980878.3634254001</v>
      </c>
      <c r="T309" s="335">
        <f t="shared" si="22"/>
        <v>6.3004505890802281E-3</v>
      </c>
      <c r="U309" s="335">
        <f t="shared" si="23"/>
        <v>6.934846822893948E-3</v>
      </c>
      <c r="V309" s="335">
        <f t="shared" si="24"/>
        <v>6.3439623381371987E-4</v>
      </c>
    </row>
    <row r="310" spans="1:22" x14ac:dyDescent="0.45">
      <c r="A310" s="293" t="s">
        <v>67</v>
      </c>
      <c r="B310" s="297" t="s">
        <v>5</v>
      </c>
      <c r="C310" s="293" t="str">
        <f t="shared" si="20"/>
        <v>SwitzerlandManufacture of electrical equipment (C27)</v>
      </c>
      <c r="D310" s="297" t="s">
        <v>958</v>
      </c>
      <c r="E310" s="298">
        <v>4912.9926050900003</v>
      </c>
      <c r="F310" s="298">
        <v>4616.3561184700002</v>
      </c>
      <c r="G310" s="302">
        <v>-6.0377963181274974E-2</v>
      </c>
      <c r="H310" s="303">
        <v>6087.9382381099995</v>
      </c>
      <c r="I310" s="298">
        <v>4663.3603192500004</v>
      </c>
      <c r="J310" s="298">
        <v>4616.3561184700002</v>
      </c>
      <c r="K310" s="302">
        <v>-1.0079470073536934E-2</v>
      </c>
      <c r="L310" s="298">
        <v>4849.8185993400002</v>
      </c>
      <c r="M310" s="298">
        <v>5057.2910011900003</v>
      </c>
      <c r="N310" s="298">
        <v>5210.6440715899998</v>
      </c>
      <c r="O310" s="306">
        <v>5549.3107294800002</v>
      </c>
      <c r="P310" s="306" cm="1">
        <f t="array" ref="P310">INDEX($E$302:$E$676, MATCH($B310, $B$302:$B$676, 0) * MATCH("Brazil", $A$302:$A$676, 0))</f>
        <v>11000.9308432</v>
      </c>
      <c r="Q310" s="306">
        <f t="shared" si="21"/>
        <v>6087.9382381099995</v>
      </c>
      <c r="R310" s="336">
        <f>INDEX('Base GDP'!$A$1:$E$76,MATCH(A310,'Base GDP'!$A$1:$A$76,0),4)</f>
        <v>669989.49931316997</v>
      </c>
      <c r="S310" s="336">
        <f>INDEX('Base GDP'!$A$1:$E$76,MATCH(A310,'Base GDP'!$A$1:$A$76,0),5)</f>
        <v>743458.79269773001</v>
      </c>
      <c r="T310" s="335">
        <f t="shared" si="22"/>
        <v>6.9603483696842666E-3</v>
      </c>
      <c r="U310" s="335">
        <f t="shared" si="23"/>
        <v>6.2092965525621059E-3</v>
      </c>
      <c r="V310" s="335">
        <f t="shared" si="24"/>
        <v>-7.5105181712216071E-4</v>
      </c>
    </row>
    <row r="311" spans="1:22" x14ac:dyDescent="0.45">
      <c r="A311" s="293" t="s">
        <v>108</v>
      </c>
      <c r="B311" s="297" t="s">
        <v>5</v>
      </c>
      <c r="C311" s="293" t="str">
        <f t="shared" si="20"/>
        <v>TurkeyManufacture of electrical equipment (C27)</v>
      </c>
      <c r="D311" s="297" t="s">
        <v>958</v>
      </c>
      <c r="E311" s="298">
        <v>2794.81228263</v>
      </c>
      <c r="F311" s="298">
        <v>5596.5194584199999</v>
      </c>
      <c r="G311" s="302">
        <v>1.002467032652909</v>
      </c>
      <c r="H311" s="303">
        <v>8206.1185605699993</v>
      </c>
      <c r="I311" s="298">
        <v>4396.4870809599997</v>
      </c>
      <c r="J311" s="298">
        <v>5596.5194584199999</v>
      </c>
      <c r="K311" s="302">
        <v>0.27295255401909779</v>
      </c>
      <c r="L311" s="298">
        <v>6566.0753463199999</v>
      </c>
      <c r="M311" s="298">
        <v>7380.7496196599996</v>
      </c>
      <c r="N311" s="298">
        <v>8089.8730813399998</v>
      </c>
      <c r="O311" s="306">
        <v>10330.47004204</v>
      </c>
      <c r="P311" s="306" cm="1">
        <f t="array" ref="P311">INDEX($E$302:$E$676, MATCH($B311, $B$302:$B$676, 0) * MATCH("Brazil", $A$302:$A$676, 0))</f>
        <v>11000.9308432</v>
      </c>
      <c r="Q311" s="306">
        <f t="shared" si="21"/>
        <v>8206.1185605699993</v>
      </c>
      <c r="R311" s="336">
        <f>INDEX('Base GDP'!$A$1:$E$76,MATCH(A311,'Base GDP'!$A$1:$A$76,0),4)</f>
        <v>659235.83503077005</v>
      </c>
      <c r="S311" s="336">
        <f>INDEX('Base GDP'!$A$1:$E$76,MATCH(A311,'Base GDP'!$A$1:$A$76,0),5)</f>
        <v>865088.75381619995</v>
      </c>
      <c r="T311" s="335">
        <f t="shared" si="22"/>
        <v>6.669065677770372E-3</v>
      </c>
      <c r="U311" s="335">
        <f t="shared" si="23"/>
        <v>6.4693009055219524E-3</v>
      </c>
      <c r="V311" s="335">
        <f t="shared" si="24"/>
        <v>-1.9976477224841957E-4</v>
      </c>
    </row>
    <row r="312" spans="1:22" x14ac:dyDescent="0.45">
      <c r="A312" s="293" t="s">
        <v>106</v>
      </c>
      <c r="B312" s="297" t="s">
        <v>5</v>
      </c>
      <c r="C312" s="293" t="str">
        <f t="shared" si="20"/>
        <v>RussiaManufacture of electrical equipment (C27)</v>
      </c>
      <c r="D312" s="297" t="s">
        <v>958</v>
      </c>
      <c r="E312" s="298">
        <v>4849.51714051</v>
      </c>
      <c r="F312" s="298">
        <v>2991.3366093499999</v>
      </c>
      <c r="G312" s="302">
        <v>-0.38316815413185334</v>
      </c>
      <c r="H312" s="303">
        <v>6151.4137026899998</v>
      </c>
      <c r="I312" s="298">
        <v>4165.1937725500002</v>
      </c>
      <c r="J312" s="298">
        <v>2991.3366093499999</v>
      </c>
      <c r="K312" s="302">
        <v>-0.28182534290147698</v>
      </c>
      <c r="L312" s="298">
        <v>2968.5410898599998</v>
      </c>
      <c r="M312" s="298">
        <v>3104.0362557799999</v>
      </c>
      <c r="N312" s="298">
        <v>3201.93835549</v>
      </c>
      <c r="O312" s="306">
        <v>3396.4220804400002</v>
      </c>
      <c r="P312" s="306" cm="1">
        <f t="array" ref="P312">INDEX($E$302:$E$676, MATCH($B312, $B$302:$B$676, 0) * MATCH("Brazil", $A$302:$A$676, 0))</f>
        <v>11000.9308432</v>
      </c>
      <c r="Q312" s="306">
        <f t="shared" si="21"/>
        <v>6151.4137026899998</v>
      </c>
      <c r="R312" s="336">
        <f>INDEX('Base GDP'!$A$1:$E$76,MATCH(A312,'Base GDP'!$A$1:$A$76,0),4)</f>
        <v>1579786.0768998</v>
      </c>
      <c r="S312" s="336">
        <f>INDEX('Base GDP'!$A$1:$E$76,MATCH(A312,'Base GDP'!$A$1:$A$76,0),5)</f>
        <v>1741025.8573970001</v>
      </c>
      <c r="T312" s="335">
        <f t="shared" si="22"/>
        <v>2.636555564993869E-3</v>
      </c>
      <c r="U312" s="335">
        <f t="shared" si="23"/>
        <v>1.718145998028044E-3</v>
      </c>
      <c r="V312" s="335">
        <f t="shared" si="24"/>
        <v>-9.1840956696582501E-4</v>
      </c>
    </row>
    <row r="313" spans="1:22" x14ac:dyDescent="0.45">
      <c r="A313" s="293" t="s">
        <v>77</v>
      </c>
      <c r="B313" s="297" t="s">
        <v>5</v>
      </c>
      <c r="C313" s="293" t="str">
        <f t="shared" si="20"/>
        <v>SpainManufacture of electrical equipment (C27)</v>
      </c>
      <c r="D313" s="297" t="s">
        <v>958</v>
      </c>
      <c r="E313" s="298">
        <v>5314.5946182300004</v>
      </c>
      <c r="F313" s="298">
        <v>5075.3655449799999</v>
      </c>
      <c r="G313" s="302">
        <v>-4.5013606951206153E-2</v>
      </c>
      <c r="H313" s="303">
        <v>5686.3362249699994</v>
      </c>
      <c r="I313" s="298">
        <v>4004.3651102700001</v>
      </c>
      <c r="J313" s="298">
        <v>5075.3655449799999</v>
      </c>
      <c r="K313" s="302">
        <v>0.26745823750267017</v>
      </c>
      <c r="L313" s="298">
        <v>6153.2655011400002</v>
      </c>
      <c r="M313" s="298">
        <v>6680.8005481800001</v>
      </c>
      <c r="N313" s="298">
        <v>6995.2530251999997</v>
      </c>
      <c r="O313" s="306">
        <v>7683.1466308199997</v>
      </c>
      <c r="P313" s="306" cm="1">
        <f t="array" ref="P313">INDEX($E$302:$E$676, MATCH($B313, $B$302:$B$676, 0) * MATCH("Brazil", $A$302:$A$676, 0))</f>
        <v>11000.9308432</v>
      </c>
      <c r="Q313" s="306">
        <f t="shared" si="21"/>
        <v>5686.3362249699994</v>
      </c>
      <c r="R313" s="336">
        <f>INDEX('Base GDP'!$A$1:$E$76,MATCH(A313,'Base GDP'!$A$1:$A$76,0),4)</f>
        <v>1259732.1048611</v>
      </c>
      <c r="S313" s="336">
        <f>INDEX('Base GDP'!$A$1:$E$76,MATCH(A313,'Base GDP'!$A$1:$A$76,0),5)</f>
        <v>1317888.2673469</v>
      </c>
      <c r="T313" s="335">
        <f t="shared" si="22"/>
        <v>3.1787433969633788E-3</v>
      </c>
      <c r="U313" s="335">
        <f t="shared" si="23"/>
        <v>3.851134933614248E-3</v>
      </c>
      <c r="V313" s="335">
        <f t="shared" si="24"/>
        <v>6.7239153665086919E-4</v>
      </c>
    </row>
    <row r="314" spans="1:22" x14ac:dyDescent="0.45">
      <c r="A314" s="293" t="s">
        <v>111</v>
      </c>
      <c r="B314" s="297" t="s">
        <v>5</v>
      </c>
      <c r="C314" s="293" t="str">
        <f t="shared" si="20"/>
        <v>Czech RepublicManufacture of electrical equipment (C27)</v>
      </c>
      <c r="D314" s="297" t="s">
        <v>958</v>
      </c>
      <c r="E314" s="298">
        <v>2565.1043531800001</v>
      </c>
      <c r="F314" s="298">
        <v>4595.6493382600001</v>
      </c>
      <c r="G314" s="302">
        <v>0.79160326657381463</v>
      </c>
      <c r="H314" s="303">
        <v>8435.8264900199993</v>
      </c>
      <c r="I314" s="298">
        <v>3593.9968155299998</v>
      </c>
      <c r="J314" s="298">
        <v>4595.6493382600001</v>
      </c>
      <c r="K314" s="302">
        <v>0.27870156100355037</v>
      </c>
      <c r="L314" s="298">
        <v>5607.9594803299997</v>
      </c>
      <c r="M314" s="298">
        <v>6287.2910290399996</v>
      </c>
      <c r="N314" s="298">
        <v>6839.93292303</v>
      </c>
      <c r="O314" s="306">
        <v>7862.5011530600004</v>
      </c>
      <c r="P314" s="306" cm="1">
        <f t="array" ref="P314">INDEX($E$302:$E$676, MATCH($B314, $B$302:$B$676, 0) * MATCH("Brazil", $A$302:$A$676, 0))</f>
        <v>11000.9308432</v>
      </c>
      <c r="Q314" s="306">
        <f t="shared" si="21"/>
        <v>8435.8264900199993</v>
      </c>
      <c r="R314" s="336">
        <f>INDEX('Base GDP'!$A$1:$E$76,MATCH(A314,'Base GDP'!$A$1:$A$76,0),4)</f>
        <v>220291.04889604999</v>
      </c>
      <c r="S314" s="336">
        <f>INDEX('Base GDP'!$A$1:$E$76,MATCH(A314,'Base GDP'!$A$1:$A$76,0),5)</f>
        <v>247058.51905223</v>
      </c>
      <c r="T314" s="335">
        <f t="shared" si="22"/>
        <v>1.6314765550124191E-2</v>
      </c>
      <c r="U314" s="335">
        <f t="shared" si="23"/>
        <v>1.8601460722301368E-2</v>
      </c>
      <c r="V314" s="335">
        <f t="shared" si="24"/>
        <v>2.2866951721771771E-3</v>
      </c>
    </row>
    <row r="315" spans="1:22" x14ac:dyDescent="0.45">
      <c r="A315" s="293" t="s">
        <v>112</v>
      </c>
      <c r="B315" s="297" t="s">
        <v>5</v>
      </c>
      <c r="C315" s="293" t="str">
        <f t="shared" si="20"/>
        <v>PolandManufacture of electrical equipment (C27)</v>
      </c>
      <c r="D315" s="297" t="s">
        <v>958</v>
      </c>
      <c r="E315" s="298">
        <v>1915.4629002900001</v>
      </c>
      <c r="F315" s="298">
        <v>5628.9724057499998</v>
      </c>
      <c r="G315" s="302">
        <v>1.938700825214509</v>
      </c>
      <c r="H315" s="303">
        <v>9085.4679429099997</v>
      </c>
      <c r="I315" s="298">
        <v>3158.4352047500001</v>
      </c>
      <c r="J315" s="298">
        <v>5628.9724057499998</v>
      </c>
      <c r="K315" s="302">
        <v>0.78220290771978984</v>
      </c>
      <c r="L315" s="298">
        <v>7066.3681215300003</v>
      </c>
      <c r="M315" s="298">
        <v>8548.8076854800001</v>
      </c>
      <c r="N315" s="298">
        <v>9657.0854205300002</v>
      </c>
      <c r="O315" s="306">
        <v>12059.716989840001</v>
      </c>
      <c r="P315" s="306" cm="1">
        <f t="array" ref="P315">INDEX($E$302:$E$676, MATCH($B315, $B$302:$B$676, 0) * MATCH("Brazil", $A$302:$A$676, 0))</f>
        <v>11000.9308432</v>
      </c>
      <c r="Q315" s="306">
        <f t="shared" si="21"/>
        <v>9085.4679429099997</v>
      </c>
      <c r="R315" s="336">
        <f>INDEX('Base GDP'!$A$1:$E$76,MATCH(A315,'Base GDP'!$A$1:$A$76,0),4)</f>
        <v>496555.53410177003</v>
      </c>
      <c r="S315" s="336">
        <f>INDEX('Base GDP'!$A$1:$E$76,MATCH(A315,'Base GDP'!$A$1:$A$76,0),5)</f>
        <v>623108.57565016998</v>
      </c>
      <c r="T315" s="335">
        <f t="shared" si="22"/>
        <v>6.3606887605499379E-3</v>
      </c>
      <c r="U315" s="335">
        <f t="shared" si="23"/>
        <v>9.0336943282742707E-3</v>
      </c>
      <c r="V315" s="335">
        <f t="shared" si="24"/>
        <v>2.6730055677243328E-3</v>
      </c>
    </row>
    <row r="316" spans="1:22" x14ac:dyDescent="0.45">
      <c r="A316" s="293" t="s">
        <v>109</v>
      </c>
      <c r="B316" s="297" t="s">
        <v>5</v>
      </c>
      <c r="C316" s="293" t="str">
        <f t="shared" si="20"/>
        <v>ThailandManufacture of electrical equipment (C27)</v>
      </c>
      <c r="D316" s="297" t="s">
        <v>958</v>
      </c>
      <c r="E316" s="298">
        <v>3135.4934004199999</v>
      </c>
      <c r="F316" s="298">
        <v>3132.0218467200002</v>
      </c>
      <c r="G316" s="302">
        <v>-1.1071793994319457E-3</v>
      </c>
      <c r="H316" s="303">
        <v>7865.4374427799994</v>
      </c>
      <c r="I316" s="298">
        <v>3135.1007768099998</v>
      </c>
      <c r="J316" s="298">
        <v>3132.0218467200002</v>
      </c>
      <c r="K316" s="302">
        <v>-9.8208329147631002E-4</v>
      </c>
      <c r="L316" s="298">
        <v>3041.96095728</v>
      </c>
      <c r="M316" s="298">
        <v>3492.25000052</v>
      </c>
      <c r="N316" s="298">
        <v>3850.9675472899999</v>
      </c>
      <c r="O316" s="306">
        <v>4794.9163760700003</v>
      </c>
      <c r="P316" s="306" cm="1">
        <f t="array" ref="P316">INDEX($E$302:$E$676, MATCH($B316, $B$302:$B$676, 0) * MATCH("Brazil", $A$302:$A$676, 0))</f>
        <v>11000.9308432</v>
      </c>
      <c r="Q316" s="306">
        <f t="shared" si="21"/>
        <v>7865.4374427799994</v>
      </c>
      <c r="R316" s="336">
        <f>INDEX('Base GDP'!$A$1:$E$76,MATCH(A316,'Base GDP'!$A$1:$A$76,0),4)</f>
        <v>474324.68093352998</v>
      </c>
      <c r="S316" s="336">
        <f>INDEX('Base GDP'!$A$1:$E$76,MATCH(A316,'Base GDP'!$A$1:$A$76,0),5)</f>
        <v>518585.14704719</v>
      </c>
      <c r="T316" s="335">
        <f t="shared" si="22"/>
        <v>6.6096092040577176E-3</v>
      </c>
      <c r="U316" s="335">
        <f t="shared" si="23"/>
        <v>6.0395517776659228E-3</v>
      </c>
      <c r="V316" s="335">
        <f t="shared" si="24"/>
        <v>-5.7005742639179482E-4</v>
      </c>
    </row>
    <row r="317" spans="1:22" x14ac:dyDescent="0.45">
      <c r="A317" s="293" t="s">
        <v>63</v>
      </c>
      <c r="B317" s="297" t="s">
        <v>5</v>
      </c>
      <c r="C317" s="293" t="str">
        <f t="shared" si="20"/>
        <v>CanadaManufacture of electrical equipment (C27)</v>
      </c>
      <c r="D317" s="297" t="s">
        <v>958</v>
      </c>
      <c r="E317" s="298">
        <v>2979.8136303699998</v>
      </c>
      <c r="F317" s="298">
        <v>2745.2119328899998</v>
      </c>
      <c r="G317" s="302">
        <v>-7.8730325644852384E-2</v>
      </c>
      <c r="H317" s="303">
        <v>8021.1172128300004</v>
      </c>
      <c r="I317" s="298">
        <v>3099.6536968300002</v>
      </c>
      <c r="J317" s="298">
        <v>2745.2119328899998</v>
      </c>
      <c r="K317" s="302">
        <v>-0.11434882687136505</v>
      </c>
      <c r="L317" s="298">
        <v>3194.7751255799999</v>
      </c>
      <c r="M317" s="298">
        <v>3337.1114056400002</v>
      </c>
      <c r="N317" s="298">
        <v>3439.0595410300002</v>
      </c>
      <c r="O317" s="306">
        <v>3745.0546115100001</v>
      </c>
      <c r="P317" s="306" cm="1">
        <f t="array" ref="P317">INDEX($E$302:$E$676, MATCH($B317, $B$302:$B$676, 0) * MATCH("Brazil", $A$302:$A$676, 0))</f>
        <v>11000.9308432</v>
      </c>
      <c r="Q317" s="306">
        <f t="shared" si="21"/>
        <v>8021.1172128300004</v>
      </c>
      <c r="R317" s="336">
        <f>INDEX('Base GDP'!$A$1:$E$76,MATCH(A317,'Base GDP'!$A$1:$A$76,0),4)</f>
        <v>1599989.9756132001</v>
      </c>
      <c r="S317" s="336">
        <f>INDEX('Base GDP'!$A$1:$E$76,MATCH(A317,'Base GDP'!$A$1:$A$76,0),5)</f>
        <v>1743385.5162593001</v>
      </c>
      <c r="T317" s="335">
        <f t="shared" si="22"/>
        <v>1.9372956981446401E-3</v>
      </c>
      <c r="U317" s="335">
        <f t="shared" si="23"/>
        <v>1.5746442237172368E-3</v>
      </c>
      <c r="V317" s="335">
        <f t="shared" si="24"/>
        <v>-3.6265147442740325E-4</v>
      </c>
    </row>
    <row r="318" spans="1:22" x14ac:dyDescent="0.45">
      <c r="A318" s="293" t="s">
        <v>66</v>
      </c>
      <c r="B318" s="297" t="s">
        <v>5</v>
      </c>
      <c r="C318" s="293" t="str">
        <f t="shared" si="20"/>
        <v>NetherlandsManufacture of electrical equipment (C27)</v>
      </c>
      <c r="D318" s="297" t="s">
        <v>958</v>
      </c>
      <c r="E318" s="298">
        <v>2505.20259532</v>
      </c>
      <c r="F318" s="298">
        <v>3768.1692365099998</v>
      </c>
      <c r="G318" s="302">
        <v>0.50413752706043158</v>
      </c>
      <c r="H318" s="303">
        <v>8495.7282478800007</v>
      </c>
      <c r="I318" s="298">
        <v>3026.87816131</v>
      </c>
      <c r="J318" s="298">
        <v>3768.1692365099998</v>
      </c>
      <c r="K318" s="302">
        <v>0.24490284566960474</v>
      </c>
      <c r="L318" s="298">
        <v>4149.4382951300004</v>
      </c>
      <c r="M318" s="298">
        <v>4142.2503596899996</v>
      </c>
      <c r="N318" s="298">
        <v>4117.1770169499996</v>
      </c>
      <c r="O318" s="306">
        <v>4049.6313064199999</v>
      </c>
      <c r="P318" s="306" cm="1">
        <f t="array" ref="P318">INDEX($E$302:$E$676, MATCH($B318, $B$302:$B$676, 0) * MATCH("Brazil", $A$302:$A$676, 0))</f>
        <v>11000.9308432</v>
      </c>
      <c r="Q318" s="306">
        <f t="shared" si="21"/>
        <v>8495.7282478800007</v>
      </c>
      <c r="R318" s="336">
        <f>INDEX('Base GDP'!$A$1:$E$76,MATCH(A318,'Base GDP'!$A$1:$A$76,0),4)</f>
        <v>829203.89806390996</v>
      </c>
      <c r="S318" s="336">
        <f>INDEX('Base GDP'!$A$1:$E$76,MATCH(A318,'Base GDP'!$A$1:$A$76,0),5)</f>
        <v>928325.09368340997</v>
      </c>
      <c r="T318" s="335">
        <f t="shared" si="22"/>
        <v>3.650342416837875E-3</v>
      </c>
      <c r="U318" s="335">
        <f t="shared" si="23"/>
        <v>4.0591052231052499E-3</v>
      </c>
      <c r="V318" s="335">
        <f t="shared" si="24"/>
        <v>4.0876280626737493E-4</v>
      </c>
    </row>
    <row r="319" spans="1:22" x14ac:dyDescent="0.45">
      <c r="A319" s="293" t="s">
        <v>105</v>
      </c>
      <c r="B319" s="297" t="s">
        <v>5</v>
      </c>
      <c r="C319" s="293" t="str">
        <f t="shared" si="20"/>
        <v>Saudi ArabiaManufacture of electrical equipment (C27)</v>
      </c>
      <c r="D319" s="297" t="s">
        <v>958</v>
      </c>
      <c r="E319" s="298">
        <v>2304.77730724</v>
      </c>
      <c r="F319" s="298">
        <v>2945.2897153399999</v>
      </c>
      <c r="G319" s="302">
        <v>0.27790641902276514</v>
      </c>
      <c r="H319" s="303">
        <v>8696.1535359600002</v>
      </c>
      <c r="I319" s="298">
        <v>2786.9222413900002</v>
      </c>
      <c r="J319" s="298">
        <v>2945.2897153399999</v>
      </c>
      <c r="K319" s="302">
        <v>5.682522160037462E-2</v>
      </c>
      <c r="L319" s="298">
        <v>3330.12239241</v>
      </c>
      <c r="M319" s="298">
        <v>3682.0374566099999</v>
      </c>
      <c r="N319" s="298">
        <v>4117.6048013500003</v>
      </c>
      <c r="O319" s="306">
        <v>4956.9278401199999</v>
      </c>
      <c r="P319" s="306" cm="1">
        <f t="array" ref="P319">INDEX($E$302:$E$676, MATCH($B319, $B$302:$B$676, 0) * MATCH("Brazil", $A$302:$A$676, 0))</f>
        <v>11000.9308432</v>
      </c>
      <c r="Q319" s="306">
        <f t="shared" si="21"/>
        <v>8696.1535359600002</v>
      </c>
      <c r="R319" s="336">
        <f>INDEX('Base GDP'!$A$1:$E$76,MATCH(A319,'Base GDP'!$A$1:$A$76,0),4)</f>
        <v>791157.39281293005</v>
      </c>
      <c r="S319" s="336">
        <f>INDEX('Base GDP'!$A$1:$E$76,MATCH(A319,'Base GDP'!$A$1:$A$76,0),5)</f>
        <v>836861.61444072996</v>
      </c>
      <c r="T319" s="335">
        <f t="shared" si="22"/>
        <v>3.5225888890214425E-3</v>
      </c>
      <c r="U319" s="335">
        <f t="shared" si="23"/>
        <v>3.519446542315507E-3</v>
      </c>
      <c r="V319" s="335">
        <f t="shared" si="24"/>
        <v>-3.1423467059354775E-6</v>
      </c>
    </row>
    <row r="320" spans="1:22" x14ac:dyDescent="0.45">
      <c r="A320" s="293" t="s">
        <v>122</v>
      </c>
      <c r="B320" s="297" t="s">
        <v>5</v>
      </c>
      <c r="C320" s="293" t="str">
        <f t="shared" si="20"/>
        <v>VietnamManufacture of electrical equipment (C27)</v>
      </c>
      <c r="D320" s="297" t="s">
        <v>958</v>
      </c>
      <c r="E320" s="298">
        <v>2082.4525617899999</v>
      </c>
      <c r="F320" s="298">
        <v>3341.9106553699999</v>
      </c>
      <c r="G320" s="302">
        <v>0.60479557454956656</v>
      </c>
      <c r="H320" s="303">
        <v>8918.4782814099999</v>
      </c>
      <c r="I320" s="298">
        <v>2383.2763154899999</v>
      </c>
      <c r="J320" s="298">
        <v>3341.9106553699999</v>
      </c>
      <c r="K320" s="302">
        <v>0.40223382142028519</v>
      </c>
      <c r="L320" s="298">
        <v>4529.2794472200003</v>
      </c>
      <c r="M320" s="298">
        <v>6203.5990212999995</v>
      </c>
      <c r="N320" s="298">
        <v>7756.99238229</v>
      </c>
      <c r="O320" s="306">
        <v>12400.54969596</v>
      </c>
      <c r="P320" s="306" cm="1">
        <f t="array" ref="P320">INDEX($E$302:$E$676, MATCH($B320, $B$302:$B$676, 0) * MATCH("Brazil", $A$302:$A$676, 0))</f>
        <v>11000.9308432</v>
      </c>
      <c r="Q320" s="306">
        <f t="shared" si="21"/>
        <v>8918.4782814099999</v>
      </c>
      <c r="R320" s="336">
        <f>INDEX('Base GDP'!$A$1:$E$76,MATCH(A320,'Base GDP'!$A$1:$A$76,0),4)</f>
        <v>254018.52751081</v>
      </c>
      <c r="S320" s="336">
        <f>INDEX('Base GDP'!$A$1:$E$76,MATCH(A320,'Base GDP'!$A$1:$A$76,0),5)</f>
        <v>352775.42056751001</v>
      </c>
      <c r="T320" s="335">
        <f t="shared" si="22"/>
        <v>9.3822932478363312E-3</v>
      </c>
      <c r="U320" s="335">
        <f t="shared" si="23"/>
        <v>9.4731958649326153E-3</v>
      </c>
      <c r="V320" s="335">
        <f t="shared" si="24"/>
        <v>9.0902617096284138E-5</v>
      </c>
    </row>
    <row r="321" spans="1:22" x14ac:dyDescent="0.45">
      <c r="A321" s="293" t="s">
        <v>74</v>
      </c>
      <c r="B321" s="297" t="s">
        <v>5</v>
      </c>
      <c r="C321" s="293" t="str">
        <f t="shared" si="20"/>
        <v>SwedenManufacture of electrical equipment (C27)</v>
      </c>
      <c r="D321" s="297" t="s">
        <v>958</v>
      </c>
      <c r="E321" s="298">
        <v>1921.06915867</v>
      </c>
      <c r="F321" s="298">
        <v>2252.0907578599999</v>
      </c>
      <c r="G321" s="302">
        <v>0.17231113085963745</v>
      </c>
      <c r="H321" s="303">
        <v>9079.8616845300003</v>
      </c>
      <c r="I321" s="298">
        <v>2136.45005747</v>
      </c>
      <c r="J321" s="298">
        <v>2252.0907578599999</v>
      </c>
      <c r="K321" s="302">
        <v>5.4127499955202607E-2</v>
      </c>
      <c r="L321" s="298">
        <v>2596.72253258</v>
      </c>
      <c r="M321" s="298">
        <v>2737.5241307900001</v>
      </c>
      <c r="N321" s="298">
        <v>2815.7488114500002</v>
      </c>
      <c r="O321" s="306">
        <v>3064.9531946699999</v>
      </c>
      <c r="P321" s="306" cm="1">
        <f t="array" ref="P321">INDEX($E$302:$E$676, MATCH($B321, $B$302:$B$676, 0) * MATCH("Brazil", $A$302:$A$676, 0))</f>
        <v>11000.9308432</v>
      </c>
      <c r="Q321" s="306">
        <f t="shared" si="21"/>
        <v>9079.8616845300003</v>
      </c>
      <c r="R321" s="336">
        <f>INDEX('Base GDP'!$A$1:$E$76,MATCH(A321,'Base GDP'!$A$1:$A$76,0),4)</f>
        <v>490179.06760786998</v>
      </c>
      <c r="S321" s="336">
        <f>INDEX('Base GDP'!$A$1:$E$76,MATCH(A321,'Base GDP'!$A$1:$A$76,0),5)</f>
        <v>552840.30345001002</v>
      </c>
      <c r="T321" s="335">
        <f t="shared" si="22"/>
        <v>4.3585093665792808E-3</v>
      </c>
      <c r="U321" s="335">
        <f t="shared" si="23"/>
        <v>4.0736732539320784E-3</v>
      </c>
      <c r="V321" s="335">
        <f t="shared" si="24"/>
        <v>-2.8483611264720245E-4</v>
      </c>
    </row>
    <row r="322" spans="1:22" x14ac:dyDescent="0.45">
      <c r="A322" s="293" t="s">
        <v>146</v>
      </c>
      <c r="B322" s="297" t="s">
        <v>5</v>
      </c>
      <c r="C322" s="293" t="str">
        <f t="shared" ref="C322:C385" si="25">A322&amp;B322</f>
        <v>EgyptManufacture of electrical equipment (C27)</v>
      </c>
      <c r="D322" s="297" t="s">
        <v>958</v>
      </c>
      <c r="E322" s="298">
        <v>3229.8444280499998</v>
      </c>
      <c r="F322" s="298">
        <v>2541.2701446900001</v>
      </c>
      <c r="G322" s="302">
        <v>-0.213191160967379</v>
      </c>
      <c r="H322" s="303">
        <v>7771.08641515</v>
      </c>
      <c r="I322" s="298">
        <v>2112.3908125500002</v>
      </c>
      <c r="J322" s="298">
        <v>2541.2701446900001</v>
      </c>
      <c r="K322" s="302">
        <v>0.20303029609481804</v>
      </c>
      <c r="L322" s="298">
        <v>3355.1238306</v>
      </c>
      <c r="M322" s="298">
        <v>3984.5581942700001</v>
      </c>
      <c r="N322" s="298">
        <v>4443.3544671400005</v>
      </c>
      <c r="O322" s="306">
        <v>5770.0321240000003</v>
      </c>
      <c r="P322" s="306" cm="1">
        <f t="array" ref="P322">INDEX($E$302:$E$676, MATCH($B322, $B$302:$B$676, 0) * MATCH("Brazil", $A$302:$A$676, 0))</f>
        <v>11000.9308432</v>
      </c>
      <c r="Q322" s="306">
        <f t="shared" si="21"/>
        <v>7771.08641515</v>
      </c>
      <c r="R322" s="336">
        <f>INDEX('Base GDP'!$A$1:$E$76,MATCH(A322,'Base GDP'!$A$1:$A$76,0),4)</f>
        <v>276522.47435759002</v>
      </c>
      <c r="S322" s="336">
        <f>INDEX('Base GDP'!$A$1:$E$76,MATCH(A322,'Base GDP'!$A$1:$A$76,0),5)</f>
        <v>357883.01385108999</v>
      </c>
      <c r="T322" s="335">
        <f t="shared" si="22"/>
        <v>7.639128853658108E-3</v>
      </c>
      <c r="U322" s="335">
        <f t="shared" si="23"/>
        <v>7.1008403482021257E-3</v>
      </c>
      <c r="V322" s="335">
        <f t="shared" si="24"/>
        <v>-5.3828850545598224E-4</v>
      </c>
    </row>
    <row r="323" spans="1:22" x14ac:dyDescent="0.45">
      <c r="A323" s="293" t="s">
        <v>144</v>
      </c>
      <c r="B323" s="297" t="s">
        <v>5</v>
      </c>
      <c r="C323" s="293" t="str">
        <f t="shared" si="25"/>
        <v>MalaysiaManufacture of electrical equipment (C27)</v>
      </c>
      <c r="D323" s="297" t="s">
        <v>958</v>
      </c>
      <c r="E323" s="298">
        <v>1402.71045338</v>
      </c>
      <c r="F323" s="298">
        <v>2719.1244554300001</v>
      </c>
      <c r="G323" s="302">
        <v>0.93847878503930859</v>
      </c>
      <c r="H323" s="303">
        <v>9598.2203898200005</v>
      </c>
      <c r="I323" s="298">
        <v>1945.2200841399999</v>
      </c>
      <c r="J323" s="298">
        <v>2719.1244554300001</v>
      </c>
      <c r="K323" s="302">
        <v>0.39784926014279276</v>
      </c>
      <c r="L323" s="298">
        <v>3527.7986359800002</v>
      </c>
      <c r="M323" s="298">
        <v>4371.85825983</v>
      </c>
      <c r="N323" s="298">
        <v>5070.1819042999996</v>
      </c>
      <c r="O323" s="306">
        <v>6904.3000359300004</v>
      </c>
      <c r="P323" s="306" cm="1">
        <f t="array" ref="P323">INDEX($E$302:$E$676, MATCH($B323, $B$302:$B$676, 0) * MATCH("Brazil", $A$302:$A$676, 0))</f>
        <v>11000.9308432</v>
      </c>
      <c r="Q323" s="306">
        <f t="shared" ref="Q323:Q386" si="26">P323-E323</f>
        <v>9598.2203898200005</v>
      </c>
      <c r="R323" s="336">
        <f>INDEX('Base GDP'!$A$1:$E$76,MATCH(A323,'Base GDP'!$A$1:$A$76,0),4)</f>
        <v>301830.41438700003</v>
      </c>
      <c r="S323" s="336">
        <f>INDEX('Base GDP'!$A$1:$E$76,MATCH(A323,'Base GDP'!$A$1:$A$76,0),5)</f>
        <v>356559.39228144003</v>
      </c>
      <c r="T323" s="335">
        <f t="shared" ref="T323:T386" si="27">I323/R323</f>
        <v>6.4447450999616076E-3</v>
      </c>
      <c r="U323" s="335">
        <f t="shared" ref="U323:U386" si="28">J323/S323</f>
        <v>7.6260070952884522E-3</v>
      </c>
      <c r="V323" s="335">
        <f t="shared" ref="V323:V386" si="29">U323-T323</f>
        <v>1.1812619953268447E-3</v>
      </c>
    </row>
    <row r="324" spans="1:22" x14ac:dyDescent="0.45">
      <c r="A324" s="293" t="s">
        <v>126</v>
      </c>
      <c r="B324" s="297" t="s">
        <v>5</v>
      </c>
      <c r="C324" s="293" t="str">
        <f t="shared" si="25"/>
        <v>FinlandManufacture of electrical equipment (C27)</v>
      </c>
      <c r="D324" s="297" t="s">
        <v>958</v>
      </c>
      <c r="E324" s="298">
        <v>1828.3548992599999</v>
      </c>
      <c r="F324" s="298">
        <v>2039.6241031300001</v>
      </c>
      <c r="G324" s="302">
        <v>0.11555152883912645</v>
      </c>
      <c r="H324" s="303">
        <v>9172.575943939999</v>
      </c>
      <c r="I324" s="298">
        <v>1789.8319563099999</v>
      </c>
      <c r="J324" s="298">
        <v>2039.6241031300001</v>
      </c>
      <c r="K324" s="302">
        <v>0.13956178731716418</v>
      </c>
      <c r="L324" s="298">
        <v>2397.0284557499999</v>
      </c>
      <c r="M324" s="298">
        <v>2687.1296297899999</v>
      </c>
      <c r="N324" s="298">
        <v>2897.2387264899999</v>
      </c>
      <c r="O324" s="306">
        <v>3436.5870812899998</v>
      </c>
      <c r="P324" s="306" cm="1">
        <f t="array" ref="P324">INDEX($E$302:$E$676, MATCH($B324, $B$302:$B$676, 0) * MATCH("Brazil", $A$302:$A$676, 0))</f>
        <v>11000.9308432</v>
      </c>
      <c r="Q324" s="306">
        <f t="shared" si="26"/>
        <v>9172.575943939999</v>
      </c>
      <c r="R324" s="336">
        <f>INDEX('Base GDP'!$A$1:$E$76,MATCH(A324,'Base GDP'!$A$1:$A$76,0),4)</f>
        <v>247207.29862345001</v>
      </c>
      <c r="S324" s="336">
        <f>INDEX('Base GDP'!$A$1:$E$76,MATCH(A324,'Base GDP'!$A$1:$A$76,0),5)</f>
        <v>270499.52733732999</v>
      </c>
      <c r="T324" s="335">
        <f t="shared" si="27"/>
        <v>7.2402067668572347E-3</v>
      </c>
      <c r="U324" s="335">
        <f t="shared" si="28"/>
        <v>7.5402131870879767E-3</v>
      </c>
      <c r="V324" s="335">
        <f t="shared" si="29"/>
        <v>3.0000642023074193E-4</v>
      </c>
    </row>
    <row r="325" spans="1:22" x14ac:dyDescent="0.45">
      <c r="A325" s="293" t="s">
        <v>118</v>
      </c>
      <c r="B325" s="297" t="s">
        <v>5</v>
      </c>
      <c r="C325" s="293" t="str">
        <f t="shared" si="25"/>
        <v>BelgiumManufacture of electrical equipment (C27)</v>
      </c>
      <c r="D325" s="297" t="s">
        <v>958</v>
      </c>
      <c r="E325" s="298">
        <v>2319.7777230800002</v>
      </c>
      <c r="F325" s="298">
        <v>1328.13548386</v>
      </c>
      <c r="G325" s="302">
        <v>-0.42747295542754993</v>
      </c>
      <c r="H325" s="303">
        <v>8681.1531201199996</v>
      </c>
      <c r="I325" s="298">
        <v>1536.59129925</v>
      </c>
      <c r="J325" s="298">
        <v>1328.13548386</v>
      </c>
      <c r="K325" s="302">
        <v>-0.13566119728241721</v>
      </c>
      <c r="L325" s="298">
        <v>1134.0403912700001</v>
      </c>
      <c r="M325" s="298">
        <v>1093.41666551</v>
      </c>
      <c r="N325" s="298">
        <v>1117.8035285200001</v>
      </c>
      <c r="O325" s="306">
        <v>1137.40062751</v>
      </c>
      <c r="P325" s="306" cm="1">
        <f t="array" ref="P325">INDEX($E$302:$E$676, MATCH($B325, $B$302:$B$676, 0) * MATCH("Brazil", $A$302:$A$676, 0))</f>
        <v>11000.9308432</v>
      </c>
      <c r="Q325" s="306">
        <f t="shared" si="26"/>
        <v>8681.1531201199996</v>
      </c>
      <c r="R325" s="336">
        <f>INDEX('Base GDP'!$A$1:$E$76,MATCH(A325,'Base GDP'!$A$1:$A$76,0),4)</f>
        <v>500331.50984029</v>
      </c>
      <c r="S325" s="336">
        <f>INDEX('Base GDP'!$A$1:$E$76,MATCH(A325,'Base GDP'!$A$1:$A$76,0),5)</f>
        <v>542439.84157398995</v>
      </c>
      <c r="T325" s="335">
        <f t="shared" si="27"/>
        <v>3.0711463680160637E-3</v>
      </c>
      <c r="U325" s="335">
        <f t="shared" si="28"/>
        <v>2.4484475181730165E-3</v>
      </c>
      <c r="V325" s="335">
        <f t="shared" si="29"/>
        <v>-6.2269884984304715E-4</v>
      </c>
    </row>
    <row r="326" spans="1:22" x14ac:dyDescent="0.45">
      <c r="A326" s="293" t="s">
        <v>120</v>
      </c>
      <c r="B326" s="297" t="s">
        <v>5</v>
      </c>
      <c r="C326" s="293" t="str">
        <f t="shared" si="25"/>
        <v>AustraliaManufacture of electrical equipment (C27)</v>
      </c>
      <c r="D326" s="297" t="s">
        <v>958</v>
      </c>
      <c r="E326" s="298">
        <v>1357.5193154200001</v>
      </c>
      <c r="F326" s="298">
        <v>1573.74229274</v>
      </c>
      <c r="G326" s="302">
        <v>0.15927801163779631</v>
      </c>
      <c r="H326" s="303">
        <v>9643.4115277799992</v>
      </c>
      <c r="I326" s="298">
        <v>1519.86572394</v>
      </c>
      <c r="J326" s="298">
        <v>1573.74229274</v>
      </c>
      <c r="K326" s="302">
        <v>3.544824253311929E-2</v>
      </c>
      <c r="L326" s="298">
        <v>1676.1725547599999</v>
      </c>
      <c r="M326" s="298">
        <v>1777.67901566</v>
      </c>
      <c r="N326" s="298">
        <v>1843.2089701</v>
      </c>
      <c r="O326" s="306">
        <v>1998.50061906</v>
      </c>
      <c r="P326" s="306" cm="1">
        <f t="array" ref="P326">INDEX($E$302:$E$676, MATCH($B326, $B$302:$B$676, 0) * MATCH("Brazil", $A$302:$A$676, 0))</f>
        <v>11000.9308432</v>
      </c>
      <c r="Q326" s="306">
        <f t="shared" si="26"/>
        <v>9643.4115277799992</v>
      </c>
      <c r="R326" s="336">
        <f>INDEX('Base GDP'!$A$1:$E$76,MATCH(A326,'Base GDP'!$A$1:$A$76,0),4)</f>
        <v>1256563.3075111001</v>
      </c>
      <c r="S326" s="336">
        <f>INDEX('Base GDP'!$A$1:$E$76,MATCH(A326,'Base GDP'!$A$1:$A$76,0),5)</f>
        <v>1430586.2916371</v>
      </c>
      <c r="T326" s="335">
        <f t="shared" si="27"/>
        <v>1.2095417038321995E-3</v>
      </c>
      <c r="U326" s="335">
        <f t="shared" si="28"/>
        <v>1.1000680643591786E-3</v>
      </c>
      <c r="V326" s="335">
        <f t="shared" si="29"/>
        <v>-1.0947363947302088E-4</v>
      </c>
    </row>
    <row r="327" spans="1:22" x14ac:dyDescent="0.45">
      <c r="A327" s="293" t="s">
        <v>99</v>
      </c>
      <c r="B327" s="297" t="s">
        <v>5</v>
      </c>
      <c r="C327" s="293" t="str">
        <f t="shared" si="25"/>
        <v>IndonesiaManufacture of electrical equipment (C27)</v>
      </c>
      <c r="D327" s="297" t="s">
        <v>958</v>
      </c>
      <c r="E327" s="298">
        <v>10309.34922627</v>
      </c>
      <c r="F327" s="298">
        <v>15898.22391047</v>
      </c>
      <c r="G327" s="302">
        <v>0.54211711734030543</v>
      </c>
      <c r="H327" s="303">
        <v>691.58161692999965</v>
      </c>
      <c r="I327" s="298">
        <v>15777.425262520001</v>
      </c>
      <c r="J327" s="298">
        <v>15898.22391047</v>
      </c>
      <c r="K327" s="302">
        <v>7.656423398624046E-3</v>
      </c>
      <c r="L327" s="298">
        <v>21236.519021110002</v>
      </c>
      <c r="M327" s="298">
        <v>25952.606917059999</v>
      </c>
      <c r="N327" s="298">
        <v>29949.932168610001</v>
      </c>
      <c r="O327" s="306">
        <v>40737.83071242</v>
      </c>
      <c r="P327" s="306" cm="1">
        <f t="array" ref="P327">INDEX($E$302:$E$676, MATCH($B327, $B$302:$B$676, 0) * MATCH("Brazil", $A$302:$A$676, 0))</f>
        <v>11000.9308432</v>
      </c>
      <c r="Q327" s="306">
        <f t="shared" si="26"/>
        <v>691.58161692999965</v>
      </c>
      <c r="R327" s="336">
        <f>INDEX('Base GDP'!$A$1:$E$76,MATCH(A327,'Base GDP'!$A$1:$A$76,0),4)</f>
        <v>917924.88667253999</v>
      </c>
      <c r="S327" s="336">
        <f>INDEX('Base GDP'!$A$1:$E$76,MATCH(A327,'Base GDP'!$A$1:$A$76,0),5)</f>
        <v>1136354.4627425</v>
      </c>
      <c r="T327" s="335">
        <f t="shared" si="27"/>
        <v>1.7188144140761738E-2</v>
      </c>
      <c r="U327" s="335">
        <f t="shared" si="28"/>
        <v>1.3990549983938037E-2</v>
      </c>
      <c r="V327" s="335">
        <f t="shared" si="29"/>
        <v>-3.1975941568237014E-3</v>
      </c>
    </row>
    <row r="328" spans="1:22" x14ac:dyDescent="0.45">
      <c r="A328" s="293" t="s">
        <v>145</v>
      </c>
      <c r="B328" s="297" t="s">
        <v>5</v>
      </c>
      <c r="C328" s="293" t="str">
        <f t="shared" si="25"/>
        <v>South AfricaManufacture of electrical equipment (C27)</v>
      </c>
      <c r="D328" s="297" t="s">
        <v>958</v>
      </c>
      <c r="E328" s="298">
        <v>1123.40868024</v>
      </c>
      <c r="F328" s="298">
        <v>1099.0798079199999</v>
      </c>
      <c r="G328" s="302">
        <v>-2.1656297256669399E-2</v>
      </c>
      <c r="H328" s="303">
        <v>9877.5221629600001</v>
      </c>
      <c r="I328" s="298">
        <v>1216.1184903599999</v>
      </c>
      <c r="J328" s="298">
        <v>1099.0798079199999</v>
      </c>
      <c r="K328" s="302">
        <v>-9.6239538636859079E-2</v>
      </c>
      <c r="L328" s="298">
        <v>1327.9987978900001</v>
      </c>
      <c r="M328" s="298">
        <v>1435.67557648</v>
      </c>
      <c r="N328" s="298">
        <v>1528.7429074199999</v>
      </c>
      <c r="O328" s="306">
        <v>1758.4092273599999</v>
      </c>
      <c r="P328" s="306" cm="1">
        <f t="array" ref="P328">INDEX($E$302:$E$676, MATCH($B328, $B$302:$B$676, 0) * MATCH("Brazil", $A$302:$A$676, 0))</f>
        <v>11000.9308432</v>
      </c>
      <c r="Q328" s="306">
        <f t="shared" si="26"/>
        <v>9877.5221629600001</v>
      </c>
      <c r="R328" s="336">
        <f>INDEX('Base GDP'!$A$1:$E$76,MATCH(A328,'Base GDP'!$A$1:$A$76,0),4)</f>
        <v>375376.48654821003</v>
      </c>
      <c r="S328" s="336">
        <f>INDEX('Base GDP'!$A$1:$E$76,MATCH(A328,'Base GDP'!$A$1:$A$76,0),5)</f>
        <v>383209.69906191999</v>
      </c>
      <c r="T328" s="335">
        <f t="shared" si="27"/>
        <v>3.2397300681853243E-3</v>
      </c>
      <c r="U328" s="335">
        <f t="shared" si="28"/>
        <v>2.8680897446241508E-3</v>
      </c>
      <c r="V328" s="335">
        <f t="shared" si="29"/>
        <v>-3.7164032356117342E-4</v>
      </c>
    </row>
    <row r="329" spans="1:22" x14ac:dyDescent="0.45">
      <c r="A329" s="293" t="s">
        <v>107</v>
      </c>
      <c r="B329" s="297" t="s">
        <v>5</v>
      </c>
      <c r="C329" s="293" t="str">
        <f t="shared" si="25"/>
        <v>IranManufacture of electrical equipment (C27)</v>
      </c>
      <c r="D329" s="297" t="s">
        <v>958</v>
      </c>
      <c r="E329" s="298">
        <v>1045.42203318</v>
      </c>
      <c r="F329" s="298">
        <v>1155.9612293099999</v>
      </c>
      <c r="G329" s="302">
        <v>0.10573643238966191</v>
      </c>
      <c r="H329" s="303">
        <v>9955.5088100199991</v>
      </c>
      <c r="I329" s="298">
        <v>1175.4370579700001</v>
      </c>
      <c r="J329" s="298">
        <v>1155.9612293099999</v>
      </c>
      <c r="K329" s="302">
        <v>-1.6569010248524307E-2</v>
      </c>
      <c r="L329" s="298">
        <v>1487.82318895</v>
      </c>
      <c r="M329" s="298">
        <v>1715.23171127</v>
      </c>
      <c r="N329" s="298">
        <v>1844.96936153</v>
      </c>
      <c r="O329" s="306">
        <v>2172.18625423</v>
      </c>
      <c r="P329" s="306" cm="1">
        <f t="array" ref="P329">INDEX($E$302:$E$676, MATCH($B329, $B$302:$B$676, 0) * MATCH("Brazil", $A$302:$A$676, 0))</f>
        <v>11000.9308432</v>
      </c>
      <c r="Q329" s="306">
        <f t="shared" si="26"/>
        <v>9955.5088100199991</v>
      </c>
      <c r="R329" s="336">
        <f>INDEX('Base GDP'!$A$1:$E$76,MATCH(A329,'Base GDP'!$A$1:$A$76,0),4)</f>
        <v>195024.47923529</v>
      </c>
      <c r="S329" s="336">
        <f>INDEX('Base GDP'!$A$1:$E$76,MATCH(A329,'Base GDP'!$A$1:$A$76,0),5)</f>
        <v>224406.94908081999</v>
      </c>
      <c r="T329" s="335">
        <f t="shared" si="27"/>
        <v>6.0271257361076075E-3</v>
      </c>
      <c r="U329" s="335">
        <f t="shared" si="28"/>
        <v>5.1511828579500953E-3</v>
      </c>
      <c r="V329" s="335">
        <f t="shared" si="29"/>
        <v>-8.759428781575122E-4</v>
      </c>
    </row>
    <row r="330" spans="1:22" x14ac:dyDescent="0.45">
      <c r="A330" s="293" t="s">
        <v>157</v>
      </c>
      <c r="B330" s="297" t="s">
        <v>5</v>
      </c>
      <c r="C330" s="293" t="str">
        <f t="shared" si="25"/>
        <v>SlovakiaManufacture of electrical equipment (C27)</v>
      </c>
      <c r="D330" s="297" t="s">
        <v>958</v>
      </c>
      <c r="E330" s="298">
        <v>529.40892083999995</v>
      </c>
      <c r="F330" s="298">
        <v>1344.2723556599999</v>
      </c>
      <c r="G330" s="302">
        <v>1.539194756157634</v>
      </c>
      <c r="H330" s="303">
        <v>10471.52192236</v>
      </c>
      <c r="I330" s="298">
        <v>1062.7063783599999</v>
      </c>
      <c r="J330" s="298">
        <v>1344.2723556599999</v>
      </c>
      <c r="K330" s="302">
        <v>0.26495180892253689</v>
      </c>
      <c r="L330" s="298">
        <v>1716.29671046</v>
      </c>
      <c r="M330" s="298">
        <v>1943.8903421800001</v>
      </c>
      <c r="N330" s="298">
        <v>2078.4460526399998</v>
      </c>
      <c r="O330" s="306">
        <v>2518.24904457</v>
      </c>
      <c r="P330" s="306" cm="1">
        <f t="array" ref="P330">INDEX($E$302:$E$676, MATCH($B330, $B$302:$B$676, 0) * MATCH("Brazil", $A$302:$A$676, 0))</f>
        <v>11000.9308432</v>
      </c>
      <c r="Q330" s="306">
        <f t="shared" si="26"/>
        <v>10471.52192236</v>
      </c>
      <c r="R330" s="336">
        <f>INDEX('Base GDP'!$A$1:$E$76,MATCH(A330,'Base GDP'!$A$1:$A$76,0),4)</f>
        <v>94460.171576160006</v>
      </c>
      <c r="S330" s="336">
        <f>INDEX('Base GDP'!$A$1:$E$76,MATCH(A330,'Base GDP'!$A$1:$A$76,0),5)</f>
        <v>107076.6714533</v>
      </c>
      <c r="T330" s="335">
        <f t="shared" si="27"/>
        <v>1.1250311751796641E-2</v>
      </c>
      <c r="U330" s="335">
        <f t="shared" si="28"/>
        <v>1.2554297191113992E-2</v>
      </c>
      <c r="V330" s="335">
        <f t="shared" si="29"/>
        <v>1.3039854393173504E-3</v>
      </c>
    </row>
    <row r="331" spans="1:22" x14ac:dyDescent="0.45">
      <c r="A331" s="293" t="s">
        <v>116</v>
      </c>
      <c r="B331" s="297" t="s">
        <v>5</v>
      </c>
      <c r="C331" s="293" t="str">
        <f t="shared" si="25"/>
        <v>DenmarkManufacture of electrical equipment (C27)</v>
      </c>
      <c r="D331" s="297" t="s">
        <v>958</v>
      </c>
      <c r="E331" s="298">
        <v>964.59450754</v>
      </c>
      <c r="F331" s="298">
        <v>1304.05669726</v>
      </c>
      <c r="G331" s="302">
        <v>0.35192216736308035</v>
      </c>
      <c r="H331" s="303">
        <v>10036.33633566</v>
      </c>
      <c r="I331" s="298">
        <v>1055.17714785</v>
      </c>
      <c r="J331" s="298">
        <v>1304.05669726</v>
      </c>
      <c r="K331" s="302">
        <v>0.23586518142201074</v>
      </c>
      <c r="L331" s="298">
        <v>1409.3485965</v>
      </c>
      <c r="M331" s="298">
        <v>1515.37881973</v>
      </c>
      <c r="N331" s="298">
        <v>1589.3724875299999</v>
      </c>
      <c r="O331" s="306">
        <v>1753.58737868</v>
      </c>
      <c r="P331" s="306" cm="1">
        <f t="array" ref="P331">INDEX($E$302:$E$676, MATCH($B331, $B$302:$B$676, 0) * MATCH("Brazil", $A$302:$A$676, 0))</f>
        <v>11000.9308432</v>
      </c>
      <c r="Q331" s="306">
        <f t="shared" si="26"/>
        <v>10036.33633566</v>
      </c>
      <c r="R331" s="336">
        <f>INDEX('Base GDP'!$A$1:$E$76,MATCH(A331,'Base GDP'!$A$1:$A$76,0),4)</f>
        <v>315318.76572541997</v>
      </c>
      <c r="S331" s="336">
        <f>INDEX('Base GDP'!$A$1:$E$76,MATCH(A331,'Base GDP'!$A$1:$A$76,0),5)</f>
        <v>361238.79673869</v>
      </c>
      <c r="T331" s="335">
        <f t="shared" si="27"/>
        <v>3.3463823360543334E-3</v>
      </c>
      <c r="U331" s="335">
        <f t="shared" si="28"/>
        <v>3.6099574825107115E-3</v>
      </c>
      <c r="V331" s="335">
        <f t="shared" si="29"/>
        <v>2.6357514645637811E-4</v>
      </c>
    </row>
    <row r="332" spans="1:22" x14ac:dyDescent="0.45">
      <c r="A332" s="293" t="s">
        <v>113</v>
      </c>
      <c r="B332" s="297" t="s">
        <v>5</v>
      </c>
      <c r="C332" s="293" t="str">
        <f t="shared" si="25"/>
        <v>HungaryManufacture of electrical equipment (C27)</v>
      </c>
      <c r="D332" s="297" t="s">
        <v>958</v>
      </c>
      <c r="E332" s="298">
        <v>1049.36223795</v>
      </c>
      <c r="F332" s="298">
        <v>1882.24108914</v>
      </c>
      <c r="G332" s="302">
        <v>0.79370004090969104</v>
      </c>
      <c r="H332" s="303">
        <v>9951.5686052500005</v>
      </c>
      <c r="I332" s="298">
        <v>1042.2348284499999</v>
      </c>
      <c r="J332" s="298">
        <v>1882.24108914</v>
      </c>
      <c r="K332" s="302">
        <v>0.80596640772334216</v>
      </c>
      <c r="L332" s="298">
        <v>2917.6782163500002</v>
      </c>
      <c r="M332" s="298">
        <v>3381.40309015</v>
      </c>
      <c r="N332" s="298">
        <v>3683.0362678699998</v>
      </c>
      <c r="O332" s="306">
        <v>4496.0309177600002</v>
      </c>
      <c r="P332" s="306" cm="1">
        <f t="array" ref="P332">INDEX($E$302:$E$676, MATCH($B332, $B$302:$B$676, 0) * MATCH("Brazil", $A$302:$A$676, 0))</f>
        <v>11000.9308432</v>
      </c>
      <c r="Q332" s="306">
        <f t="shared" si="26"/>
        <v>9951.5686052500005</v>
      </c>
      <c r="R332" s="336">
        <f>INDEX('Base GDP'!$A$1:$E$76,MATCH(A332,'Base GDP'!$A$1:$A$76,0),4)</f>
        <v>139098.07965294999</v>
      </c>
      <c r="S332" s="336">
        <f>INDEX('Base GDP'!$A$1:$E$76,MATCH(A332,'Base GDP'!$A$1:$A$76,0),5)</f>
        <v>167320.49519441</v>
      </c>
      <c r="T332" s="335">
        <f t="shared" si="27"/>
        <v>7.4928053000471182E-3</v>
      </c>
      <c r="U332" s="335">
        <f t="shared" si="28"/>
        <v>1.1249315793340323E-2</v>
      </c>
      <c r="V332" s="335">
        <f t="shared" si="29"/>
        <v>3.7565104932932051E-3</v>
      </c>
    </row>
    <row r="333" spans="1:22" x14ac:dyDescent="0.45">
      <c r="A333" s="293" t="s">
        <v>162</v>
      </c>
      <c r="B333" s="297" t="s">
        <v>5</v>
      </c>
      <c r="C333" s="293" t="str">
        <f t="shared" si="25"/>
        <v>RomaniaManufacture of electrical equipment (C27)</v>
      </c>
      <c r="D333" s="297" t="s">
        <v>958</v>
      </c>
      <c r="E333" s="298">
        <v>634.04905991999999</v>
      </c>
      <c r="F333" s="298">
        <v>1681.9427603199999</v>
      </c>
      <c r="G333" s="302">
        <v>1.6527012918088957</v>
      </c>
      <c r="H333" s="303">
        <v>10366.88178328</v>
      </c>
      <c r="I333" s="298">
        <v>1032.0286228499999</v>
      </c>
      <c r="J333" s="298">
        <v>1681.9427603199999</v>
      </c>
      <c r="K333" s="302">
        <v>0.62974429495494877</v>
      </c>
      <c r="L333" s="298">
        <v>1785.94198637</v>
      </c>
      <c r="M333" s="298">
        <v>2027.9329915400001</v>
      </c>
      <c r="N333" s="298">
        <v>2205.80038285</v>
      </c>
      <c r="O333" s="306">
        <v>2584.5949984700001</v>
      </c>
      <c r="P333" s="306" cm="1">
        <f t="array" ref="P333">INDEX($E$302:$E$676, MATCH($B333, $B$302:$B$676, 0) * MATCH("Brazil", $A$302:$A$676, 0))</f>
        <v>11000.9308432</v>
      </c>
      <c r="Q333" s="306">
        <f t="shared" si="26"/>
        <v>10366.88178328</v>
      </c>
      <c r="R333" s="336">
        <f>INDEX('Base GDP'!$A$1:$E$76,MATCH(A333,'Base GDP'!$A$1:$A$76,0),4)</f>
        <v>204518.17392167001</v>
      </c>
      <c r="S333" s="336">
        <f>INDEX('Base GDP'!$A$1:$E$76,MATCH(A333,'Base GDP'!$A$1:$A$76,0),5)</f>
        <v>254974.25152873</v>
      </c>
      <c r="T333" s="335">
        <f t="shared" si="27"/>
        <v>5.0461462815782057E-3</v>
      </c>
      <c r="U333" s="335">
        <f t="shared" si="28"/>
        <v>6.596520041673627E-3</v>
      </c>
      <c r="V333" s="335">
        <f t="shared" si="29"/>
        <v>1.5503737600954214E-3</v>
      </c>
    </row>
    <row r="334" spans="1:22" x14ac:dyDescent="0.45">
      <c r="A334" s="293" t="s">
        <v>142</v>
      </c>
      <c r="B334" s="297" t="s">
        <v>5</v>
      </c>
      <c r="C334" s="293" t="str">
        <f t="shared" si="25"/>
        <v>ArgentinaManufacture of electrical equipment (C27)</v>
      </c>
      <c r="D334" s="297" t="s">
        <v>958</v>
      </c>
      <c r="E334" s="298">
        <v>880.44510714</v>
      </c>
      <c r="F334" s="298">
        <v>644.94594142000005</v>
      </c>
      <c r="G334" s="302">
        <v>-0.26747739729622133</v>
      </c>
      <c r="H334" s="303">
        <v>10120.48573606</v>
      </c>
      <c r="I334" s="298">
        <v>935.11831971000004</v>
      </c>
      <c r="J334" s="298">
        <v>644.94594142000005</v>
      </c>
      <c r="K334" s="302">
        <v>-0.31030552195789363</v>
      </c>
      <c r="L334" s="298">
        <v>726.44029680999995</v>
      </c>
      <c r="M334" s="298">
        <v>793.13712710000004</v>
      </c>
      <c r="N334" s="298">
        <v>842.84042059000001</v>
      </c>
      <c r="O334" s="306">
        <v>985.55884021999998</v>
      </c>
      <c r="P334" s="306" cm="1">
        <f t="array" ref="P334">INDEX($E$302:$E$676, MATCH($B334, $B$302:$B$676, 0) * MATCH("Brazil", $A$302:$A$676, 0))</f>
        <v>11000.9308432</v>
      </c>
      <c r="Q334" s="306">
        <f t="shared" si="26"/>
        <v>10120.48573606</v>
      </c>
      <c r="R334" s="336">
        <f>INDEX('Base GDP'!$A$1:$E$76,MATCH(A334,'Base GDP'!$A$1:$A$76,0),4)</f>
        <v>464976.94374428003</v>
      </c>
      <c r="S334" s="336">
        <f>INDEX('Base GDP'!$A$1:$E$76,MATCH(A334,'Base GDP'!$A$1:$A$76,0),5)</f>
        <v>445673.70595729002</v>
      </c>
      <c r="T334" s="335">
        <f t="shared" si="27"/>
        <v>2.0111068565676674E-3</v>
      </c>
      <c r="U334" s="335">
        <f t="shared" si="28"/>
        <v>1.4471258519384287E-3</v>
      </c>
      <c r="V334" s="335">
        <f t="shared" si="29"/>
        <v>-5.6398100462923869E-4</v>
      </c>
    </row>
    <row r="335" spans="1:22" x14ac:dyDescent="0.45">
      <c r="A335" s="293" t="s">
        <v>143</v>
      </c>
      <c r="B335" s="297" t="s">
        <v>5</v>
      </c>
      <c r="C335" s="293" t="str">
        <f t="shared" si="25"/>
        <v>United Arab EmiratesManufacture of electrical equipment (C27)</v>
      </c>
      <c r="D335" s="297" t="s">
        <v>958</v>
      </c>
      <c r="E335" s="298">
        <v>666.95148927000002</v>
      </c>
      <c r="F335" s="298">
        <v>996.88613132</v>
      </c>
      <c r="G335" s="302">
        <v>0.49469061447201224</v>
      </c>
      <c r="H335" s="303">
        <v>10333.979353929999</v>
      </c>
      <c r="I335" s="298">
        <v>873.03399232000004</v>
      </c>
      <c r="J335" s="298">
        <v>996.88613132</v>
      </c>
      <c r="K335" s="302">
        <v>0.14186405121623658</v>
      </c>
      <c r="L335" s="298">
        <v>1169.9209065299999</v>
      </c>
      <c r="M335" s="298">
        <v>1318.59112553</v>
      </c>
      <c r="N335" s="298">
        <v>1436.04941678</v>
      </c>
      <c r="O335" s="306">
        <v>1725.29210117</v>
      </c>
      <c r="P335" s="306" cm="1">
        <f t="array" ref="P335">INDEX($E$302:$E$676, MATCH($B335, $B$302:$B$676, 0) * MATCH("Brazil", $A$302:$A$676, 0))</f>
        <v>11000.9308432</v>
      </c>
      <c r="Q335" s="306">
        <f t="shared" si="26"/>
        <v>10333.979353929999</v>
      </c>
      <c r="R335" s="336">
        <f>INDEX('Base GDP'!$A$1:$E$76,MATCH(A335,'Base GDP'!$A$1:$A$76,0),4)</f>
        <v>383753.13090967003</v>
      </c>
      <c r="S335" s="336">
        <f>INDEX('Base GDP'!$A$1:$E$76,MATCH(A335,'Base GDP'!$A$1:$A$76,0),5)</f>
        <v>414599.77007557999</v>
      </c>
      <c r="T335" s="335">
        <f t="shared" si="27"/>
        <v>2.2749885851107224E-3</v>
      </c>
      <c r="U335" s="335">
        <f t="shared" si="28"/>
        <v>2.4044541344976421E-3</v>
      </c>
      <c r="V335" s="335">
        <f t="shared" si="29"/>
        <v>1.2946554938691969E-4</v>
      </c>
    </row>
    <row r="336" spans="1:22" x14ac:dyDescent="0.45">
      <c r="A336" s="293" t="s">
        <v>164</v>
      </c>
      <c r="B336" s="297" t="s">
        <v>5</v>
      </c>
      <c r="C336" s="293" t="str">
        <f t="shared" si="25"/>
        <v>MoroccoManufacture of electrical equipment (C27)</v>
      </c>
      <c r="D336" s="297" t="s">
        <v>958</v>
      </c>
      <c r="E336" s="298">
        <v>857.36163243999999</v>
      </c>
      <c r="F336" s="298">
        <v>888.79499082999996</v>
      </c>
      <c r="G336" s="302">
        <v>3.6662893696960186E-2</v>
      </c>
      <c r="H336" s="303">
        <v>10143.569210760001</v>
      </c>
      <c r="I336" s="298">
        <v>828.55625156999997</v>
      </c>
      <c r="J336" s="298">
        <v>888.79499082999996</v>
      </c>
      <c r="K336" s="302">
        <v>7.2703258403826965E-2</v>
      </c>
      <c r="L336" s="298">
        <v>1095.1655721499999</v>
      </c>
      <c r="M336" s="298">
        <v>1193.26943216</v>
      </c>
      <c r="N336" s="298">
        <v>1248.6667876399999</v>
      </c>
      <c r="O336" s="306">
        <v>1442.05802283</v>
      </c>
      <c r="P336" s="306" cm="1">
        <f t="array" ref="P336">INDEX($E$302:$E$676, MATCH($B336, $B$302:$B$676, 0) * MATCH("Brazil", $A$302:$A$676, 0))</f>
        <v>11000.9308432</v>
      </c>
      <c r="Q336" s="306">
        <f t="shared" si="26"/>
        <v>10143.569210760001</v>
      </c>
      <c r="R336" s="336">
        <f>INDEX('Base GDP'!$A$1:$E$76,MATCH(A336,'Base GDP'!$A$1:$A$76,0),4)</f>
        <v>115608.87885166</v>
      </c>
      <c r="S336" s="336">
        <f>INDEX('Base GDP'!$A$1:$E$76,MATCH(A336,'Base GDP'!$A$1:$A$76,0),5)</f>
        <v>129710.11086108</v>
      </c>
      <c r="T336" s="335">
        <f t="shared" si="27"/>
        <v>7.1668911574961002E-3</v>
      </c>
      <c r="U336" s="335">
        <f t="shared" si="28"/>
        <v>6.8521642987561908E-3</v>
      </c>
      <c r="V336" s="335">
        <f t="shared" si="29"/>
        <v>-3.1472685873990946E-4</v>
      </c>
    </row>
    <row r="337" spans="1:22" x14ac:dyDescent="0.45">
      <c r="A337" s="293" t="s">
        <v>151</v>
      </c>
      <c r="B337" s="297" t="s">
        <v>5</v>
      </c>
      <c r="C337" s="293" t="str">
        <f t="shared" si="25"/>
        <v>NorwayManufacture of electrical equipment (C27)</v>
      </c>
      <c r="D337" s="297" t="s">
        <v>958</v>
      </c>
      <c r="E337" s="298">
        <v>730.82114906000004</v>
      </c>
      <c r="F337" s="298">
        <v>745.45269413999995</v>
      </c>
      <c r="G337" s="302">
        <v>2.0020691928277268E-2</v>
      </c>
      <c r="H337" s="303">
        <v>10270.109694139999</v>
      </c>
      <c r="I337" s="298">
        <v>733.67467937000004</v>
      </c>
      <c r="J337" s="298">
        <v>745.45269413999995</v>
      </c>
      <c r="K337" s="302">
        <v>1.6053456799290933E-2</v>
      </c>
      <c r="L337" s="298">
        <v>730.72437551999997</v>
      </c>
      <c r="M337" s="298">
        <v>744.98852399999998</v>
      </c>
      <c r="N337" s="298">
        <v>750.67726040000002</v>
      </c>
      <c r="O337" s="306">
        <v>769.93360837</v>
      </c>
      <c r="P337" s="306" cm="1">
        <f t="array" ref="P337">INDEX($E$302:$E$676, MATCH($B337, $B$302:$B$676, 0) * MATCH("Brazil", $A$302:$A$676, 0))</f>
        <v>11000.9308432</v>
      </c>
      <c r="Q337" s="306">
        <f t="shared" si="26"/>
        <v>10270.109694139999</v>
      </c>
      <c r="R337" s="336">
        <f>INDEX('Base GDP'!$A$1:$E$76,MATCH(A337,'Base GDP'!$A$1:$A$76,0),4)</f>
        <v>386512.35690163</v>
      </c>
      <c r="S337" s="336">
        <f>INDEX('Base GDP'!$A$1:$E$76,MATCH(A337,'Base GDP'!$A$1:$A$76,0),5)</f>
        <v>418559.21595058002</v>
      </c>
      <c r="T337" s="335">
        <f t="shared" si="27"/>
        <v>1.8981920403562289E-3</v>
      </c>
      <c r="U337" s="335">
        <f t="shared" si="28"/>
        <v>1.7809969670528453E-3</v>
      </c>
      <c r="V337" s="335">
        <f t="shared" si="29"/>
        <v>-1.171950733033836E-4</v>
      </c>
    </row>
    <row r="338" spans="1:22" x14ac:dyDescent="0.45">
      <c r="A338" s="293" t="s">
        <v>152</v>
      </c>
      <c r="B338" s="297" t="s">
        <v>5</v>
      </c>
      <c r="C338" s="293" t="str">
        <f t="shared" si="25"/>
        <v>ColombiaManufacture of electrical equipment (C27)</v>
      </c>
      <c r="D338" s="297" t="s">
        <v>958</v>
      </c>
      <c r="E338" s="298">
        <v>609.47577066999997</v>
      </c>
      <c r="F338" s="298">
        <v>771.70799239999997</v>
      </c>
      <c r="G338" s="302">
        <v>0.26618321767189745</v>
      </c>
      <c r="H338" s="303">
        <v>10391.45507253</v>
      </c>
      <c r="I338" s="298">
        <v>724.39466586000003</v>
      </c>
      <c r="J338" s="298">
        <v>771.70799239999997</v>
      </c>
      <c r="K338" s="302">
        <v>6.5314294499711156E-2</v>
      </c>
      <c r="L338" s="298">
        <v>945.51665839999998</v>
      </c>
      <c r="M338" s="298">
        <v>1092.63339765</v>
      </c>
      <c r="N338" s="298">
        <v>1217.7288147700001</v>
      </c>
      <c r="O338" s="306">
        <v>1549.8329656599999</v>
      </c>
      <c r="P338" s="306" cm="1">
        <f t="array" ref="P338">INDEX($E$302:$E$676, MATCH($B338, $B$302:$B$676, 0) * MATCH("Brazil", $A$302:$A$676, 0))</f>
        <v>11000.9308432</v>
      </c>
      <c r="Q338" s="306">
        <f t="shared" si="26"/>
        <v>10391.45507253</v>
      </c>
      <c r="R338" s="336">
        <f>INDEX('Base GDP'!$A$1:$E$76,MATCH(A338,'Base GDP'!$A$1:$A$76,0),4)</f>
        <v>295018.32730579999</v>
      </c>
      <c r="S338" s="336">
        <f>INDEX('Base GDP'!$A$1:$E$76,MATCH(A338,'Base GDP'!$A$1:$A$76,0),5)</f>
        <v>332655.81031924998</v>
      </c>
      <c r="T338" s="335">
        <f t="shared" si="27"/>
        <v>2.4554225917942101E-3</v>
      </c>
      <c r="U338" s="335">
        <f t="shared" si="28"/>
        <v>2.3198392105623867E-3</v>
      </c>
      <c r="V338" s="335">
        <f t="shared" si="29"/>
        <v>-1.3558338123182334E-4</v>
      </c>
    </row>
    <row r="339" spans="1:22" x14ac:dyDescent="0.45">
      <c r="A339" s="293" t="s">
        <v>161</v>
      </c>
      <c r="B339" s="297" t="s">
        <v>5</v>
      </c>
      <c r="C339" s="293" t="str">
        <f t="shared" si="25"/>
        <v>PortugalManufacture of electrical equipment (C27)</v>
      </c>
      <c r="D339" s="297" t="s">
        <v>958</v>
      </c>
      <c r="E339" s="298">
        <v>583.07639390999998</v>
      </c>
      <c r="F339" s="298">
        <v>714.07301906999999</v>
      </c>
      <c r="G339" s="302">
        <v>0.22466460060501059</v>
      </c>
      <c r="H339" s="303">
        <v>10417.85444929</v>
      </c>
      <c r="I339" s="298">
        <v>658.71084968000002</v>
      </c>
      <c r="J339" s="298">
        <v>714.07301906999999</v>
      </c>
      <c r="K339" s="302">
        <v>8.4046238826785302E-2</v>
      </c>
      <c r="L339" s="298">
        <v>749.21029613999997</v>
      </c>
      <c r="M339" s="298">
        <v>795.53293281000003</v>
      </c>
      <c r="N339" s="298">
        <v>835.25616009999999</v>
      </c>
      <c r="O339" s="306">
        <v>916.13676081000006</v>
      </c>
      <c r="P339" s="306" cm="1">
        <f t="array" ref="P339">INDEX($E$302:$E$676, MATCH($B339, $B$302:$B$676, 0) * MATCH("Brazil", $A$302:$A$676, 0))</f>
        <v>11000.9308432</v>
      </c>
      <c r="Q339" s="306">
        <f t="shared" si="26"/>
        <v>10417.85444929</v>
      </c>
      <c r="R339" s="336">
        <f>INDEX('Base GDP'!$A$1:$E$76,MATCH(A339,'Base GDP'!$A$1:$A$76,0),4)</f>
        <v>215192.52938671</v>
      </c>
      <c r="S339" s="336">
        <f>INDEX('Base GDP'!$A$1:$E$76,MATCH(A339,'Base GDP'!$A$1:$A$76,0),5)</f>
        <v>232686.90641277001</v>
      </c>
      <c r="T339" s="335">
        <f t="shared" si="27"/>
        <v>3.0610302855647417E-3</v>
      </c>
      <c r="U339" s="335">
        <f t="shared" si="28"/>
        <v>3.0688147866957554E-3</v>
      </c>
      <c r="V339" s="335">
        <f t="shared" si="29"/>
        <v>7.7845011310136852E-6</v>
      </c>
    </row>
    <row r="340" spans="1:22" x14ac:dyDescent="0.45">
      <c r="A340" s="293" t="s">
        <v>121</v>
      </c>
      <c r="B340" s="297" t="s">
        <v>5</v>
      </c>
      <c r="C340" s="293" t="str">
        <f t="shared" si="25"/>
        <v>SingaporeManufacture of electrical equipment (C27)</v>
      </c>
      <c r="D340" s="297" t="s">
        <v>958</v>
      </c>
      <c r="E340" s="298">
        <v>382.78686943999998</v>
      </c>
      <c r="F340" s="298">
        <v>822.24138358000005</v>
      </c>
      <c r="G340" s="302">
        <v>1.1480396774918176</v>
      </c>
      <c r="H340" s="303">
        <v>10618.143973759999</v>
      </c>
      <c r="I340" s="298">
        <v>577.92722834999995</v>
      </c>
      <c r="J340" s="298">
        <v>822.24138358000005</v>
      </c>
      <c r="K340" s="302">
        <v>0.42274207416654264</v>
      </c>
      <c r="L340" s="298">
        <v>1007.74185282</v>
      </c>
      <c r="M340" s="298">
        <v>1110.4288461000001</v>
      </c>
      <c r="N340" s="298">
        <v>1185.15108792</v>
      </c>
      <c r="O340" s="306">
        <v>1336.7185412900001</v>
      </c>
      <c r="P340" s="306" cm="1">
        <f t="array" ref="P340">INDEX($E$302:$E$676, MATCH($B340, $B$302:$B$676, 0) * MATCH("Brazil", $A$302:$A$676, 0))</f>
        <v>11000.9308432</v>
      </c>
      <c r="Q340" s="306">
        <f t="shared" si="26"/>
        <v>10618.143973759999</v>
      </c>
      <c r="R340" s="336">
        <f>INDEX('Base GDP'!$A$1:$E$76,MATCH(A340,'Base GDP'!$A$1:$A$76,0),4)</f>
        <v>331298.98374970001</v>
      </c>
      <c r="S340" s="336">
        <f>INDEX('Base GDP'!$A$1:$E$76,MATCH(A340,'Base GDP'!$A$1:$A$76,0),5)</f>
        <v>394237.177708</v>
      </c>
      <c r="T340" s="335">
        <f t="shared" si="27"/>
        <v>1.7444280142634855E-3</v>
      </c>
      <c r="U340" s="335">
        <f t="shared" si="28"/>
        <v>2.0856515571674732E-3</v>
      </c>
      <c r="V340" s="335">
        <f t="shared" si="29"/>
        <v>3.412235429039877E-4</v>
      </c>
    </row>
    <row r="341" spans="1:22" x14ac:dyDescent="0.45">
      <c r="A341" s="293" t="s">
        <v>154</v>
      </c>
      <c r="B341" s="297" t="s">
        <v>5</v>
      </c>
      <c r="C341" s="293" t="str">
        <f t="shared" si="25"/>
        <v>PakistanManufacture of electrical equipment (C27)</v>
      </c>
      <c r="D341" s="297" t="s">
        <v>958</v>
      </c>
      <c r="E341" s="298">
        <v>421.09458483999998</v>
      </c>
      <c r="F341" s="298">
        <v>773.09660479000001</v>
      </c>
      <c r="G341" s="302">
        <v>0.83592150700239354</v>
      </c>
      <c r="H341" s="303">
        <v>10579.836258359999</v>
      </c>
      <c r="I341" s="298">
        <v>559.43543557999999</v>
      </c>
      <c r="J341" s="298">
        <v>773.09660479000001</v>
      </c>
      <c r="K341" s="302">
        <v>0.38192283795624205</v>
      </c>
      <c r="L341" s="298">
        <v>885.69018246999997</v>
      </c>
      <c r="M341" s="298">
        <v>1095.3686683599999</v>
      </c>
      <c r="N341" s="298">
        <v>1265.9449070999999</v>
      </c>
      <c r="O341" s="306">
        <v>1765.53356029</v>
      </c>
      <c r="P341" s="306" cm="1">
        <f t="array" ref="P341">INDEX($E$302:$E$676, MATCH($B341, $B$302:$B$676, 0) * MATCH("Brazil", $A$302:$A$676, 0))</f>
        <v>11000.9308432</v>
      </c>
      <c r="Q341" s="306">
        <f t="shared" si="26"/>
        <v>10579.836258359999</v>
      </c>
      <c r="R341" s="336">
        <f>INDEX('Base GDP'!$A$1:$E$76,MATCH(A341,'Base GDP'!$A$1:$A$76,0),4)</f>
        <v>243681.57424943999</v>
      </c>
      <c r="S341" s="336">
        <f>INDEX('Base GDP'!$A$1:$E$76,MATCH(A341,'Base GDP'!$A$1:$A$76,0),5)</f>
        <v>307178.14587732003</v>
      </c>
      <c r="T341" s="335">
        <f t="shared" si="27"/>
        <v>2.2957642050003527E-3</v>
      </c>
      <c r="U341" s="335">
        <f t="shared" si="28"/>
        <v>2.516769552671098E-3</v>
      </c>
      <c r="V341" s="335">
        <f t="shared" si="29"/>
        <v>2.210053476707453E-4</v>
      </c>
    </row>
    <row r="342" spans="1:22" x14ac:dyDescent="0.45">
      <c r="A342" s="293" t="s">
        <v>163</v>
      </c>
      <c r="B342" s="297" t="s">
        <v>5</v>
      </c>
      <c r="C342" s="293" t="str">
        <f t="shared" si="25"/>
        <v>New ZealandManufacture of electrical equipment (C27)</v>
      </c>
      <c r="D342" s="297" t="s">
        <v>958</v>
      </c>
      <c r="E342" s="298">
        <v>501.32434197999999</v>
      </c>
      <c r="F342" s="298">
        <v>618.51994248000005</v>
      </c>
      <c r="G342" s="302">
        <v>0.23377201281934856</v>
      </c>
      <c r="H342" s="303">
        <v>10499.60650122</v>
      </c>
      <c r="I342" s="298">
        <v>552.59578972999998</v>
      </c>
      <c r="J342" s="298">
        <v>618.51994248000005</v>
      </c>
      <c r="K342" s="302">
        <v>0.11929905000219199</v>
      </c>
      <c r="L342" s="298">
        <v>620.33760097000004</v>
      </c>
      <c r="M342" s="298">
        <v>638.99459411999999</v>
      </c>
      <c r="N342" s="298">
        <v>653.61409961000004</v>
      </c>
      <c r="O342" s="306">
        <v>684.91811914000004</v>
      </c>
      <c r="P342" s="306" cm="1">
        <f t="array" ref="P342">INDEX($E$302:$E$676, MATCH($B342, $B$302:$B$676, 0) * MATCH("Brazil", $A$302:$A$676, 0))</f>
        <v>11000.9308432</v>
      </c>
      <c r="Q342" s="306">
        <f t="shared" si="26"/>
        <v>10499.60650122</v>
      </c>
      <c r="R342" s="336">
        <f>INDEX('Base GDP'!$A$1:$E$76,MATCH(A342,'Base GDP'!$A$1:$A$76,0),4)</f>
        <v>180884.85070677</v>
      </c>
      <c r="S342" s="336">
        <f>INDEX('Base GDP'!$A$1:$E$76,MATCH(A342,'Base GDP'!$A$1:$A$76,0),5)</f>
        <v>220909.49174857</v>
      </c>
      <c r="T342" s="335">
        <f t="shared" si="27"/>
        <v>3.0549589286822344E-3</v>
      </c>
      <c r="U342" s="335">
        <f t="shared" si="28"/>
        <v>2.799879432903561E-3</v>
      </c>
      <c r="V342" s="335">
        <f t="shared" si="29"/>
        <v>-2.5507949577867339E-4</v>
      </c>
    </row>
    <row r="343" spans="1:22" x14ac:dyDescent="0.45">
      <c r="A343" s="293" t="s">
        <v>150</v>
      </c>
      <c r="B343" s="297" t="s">
        <v>5</v>
      </c>
      <c r="C343" s="293" t="str">
        <f t="shared" si="25"/>
        <v>PhilippinesManufacture of electrical equipment (C27)</v>
      </c>
      <c r="D343" s="297" t="s">
        <v>958</v>
      </c>
      <c r="E343" s="298">
        <v>355.76431152999999</v>
      </c>
      <c r="F343" s="298">
        <v>591.27612570999997</v>
      </c>
      <c r="G343" s="302">
        <v>0.66198830671676401</v>
      </c>
      <c r="H343" s="303">
        <v>10645.16653167</v>
      </c>
      <c r="I343" s="298">
        <v>521.20834860000002</v>
      </c>
      <c r="J343" s="298">
        <v>591.27612570999997</v>
      </c>
      <c r="K343" s="302">
        <v>0.13443333610869179</v>
      </c>
      <c r="L343" s="298">
        <v>638.95823014999996</v>
      </c>
      <c r="M343" s="298">
        <v>748.78676447999999</v>
      </c>
      <c r="N343" s="298">
        <v>837.53449875000001</v>
      </c>
      <c r="O343" s="306">
        <v>1066.5243629300001</v>
      </c>
      <c r="P343" s="306" cm="1">
        <f t="array" ref="P343">INDEX($E$302:$E$676, MATCH($B343, $B$302:$B$676, 0) * MATCH("Brazil", $A$302:$A$676, 0))</f>
        <v>11000.9308432</v>
      </c>
      <c r="Q343" s="306">
        <f t="shared" si="26"/>
        <v>10645.16653167</v>
      </c>
      <c r="R343" s="336">
        <f>INDEX('Base GDP'!$A$1:$E$76,MATCH(A343,'Base GDP'!$A$1:$A$76,0),4)</f>
        <v>291518.00825125998</v>
      </c>
      <c r="S343" s="336">
        <f>INDEX('Base GDP'!$A$1:$E$76,MATCH(A343,'Base GDP'!$A$1:$A$76,0),5)</f>
        <v>360513.15606205998</v>
      </c>
      <c r="T343" s="335">
        <f t="shared" si="27"/>
        <v>1.7879113257070879E-3</v>
      </c>
      <c r="U343" s="335">
        <f t="shared" si="28"/>
        <v>1.6400958349720132E-3</v>
      </c>
      <c r="V343" s="335">
        <f t="shared" si="29"/>
        <v>-1.4781549073507468E-4</v>
      </c>
    </row>
    <row r="344" spans="1:22" x14ac:dyDescent="0.45">
      <c r="A344" s="293" t="s">
        <v>123</v>
      </c>
      <c r="B344" s="297" t="s">
        <v>5</v>
      </c>
      <c r="C344" s="293" t="str">
        <f t="shared" si="25"/>
        <v>IsraelManufacture of electrical equipment (C27)</v>
      </c>
      <c r="D344" s="297" t="s">
        <v>958</v>
      </c>
      <c r="E344" s="298">
        <v>514.48775238999997</v>
      </c>
      <c r="F344" s="298">
        <v>480.48847004999999</v>
      </c>
      <c r="G344" s="302">
        <v>-6.6083754534602246E-2</v>
      </c>
      <c r="H344" s="303">
        <v>10486.44309081</v>
      </c>
      <c r="I344" s="298">
        <v>506.27917645000002</v>
      </c>
      <c r="J344" s="298">
        <v>480.48847004999999</v>
      </c>
      <c r="K344" s="302">
        <v>-5.0941669339124251E-2</v>
      </c>
      <c r="L344" s="298">
        <v>500.03113155</v>
      </c>
      <c r="M344" s="298">
        <v>527.38390451999999</v>
      </c>
      <c r="N344" s="298">
        <v>548.85001297999997</v>
      </c>
      <c r="O344" s="306">
        <v>603.66492604999996</v>
      </c>
      <c r="P344" s="306" cm="1">
        <f t="array" ref="P344">INDEX($E$302:$E$676, MATCH($B344, $B$302:$B$676, 0) * MATCH("Brazil", $A$302:$A$676, 0))</f>
        <v>11000.9308432</v>
      </c>
      <c r="Q344" s="306">
        <f t="shared" si="26"/>
        <v>10486.44309081</v>
      </c>
      <c r="R344" s="336">
        <f>INDEX('Base GDP'!$A$1:$E$76,MATCH(A344,'Base GDP'!$A$1:$A$76,0),4)</f>
        <v>339252.33917334001</v>
      </c>
      <c r="S344" s="336">
        <f>INDEX('Base GDP'!$A$1:$E$76,MATCH(A344,'Base GDP'!$A$1:$A$76,0),5)</f>
        <v>430314.68651226</v>
      </c>
      <c r="T344" s="335">
        <f t="shared" si="27"/>
        <v>1.4923380563378167E-3</v>
      </c>
      <c r="U344" s="335">
        <f t="shared" si="28"/>
        <v>1.1165978878025361E-3</v>
      </c>
      <c r="V344" s="335">
        <f t="shared" si="29"/>
        <v>-3.7574016853528062E-4</v>
      </c>
    </row>
    <row r="345" spans="1:22" x14ac:dyDescent="0.45">
      <c r="A345" s="293" t="s">
        <v>156</v>
      </c>
      <c r="B345" s="297" t="s">
        <v>5</v>
      </c>
      <c r="C345" s="293" t="str">
        <f t="shared" si="25"/>
        <v>GreeceManufacture of electrical equipment (C27)</v>
      </c>
      <c r="D345" s="297" t="s">
        <v>958</v>
      </c>
      <c r="E345" s="298">
        <v>592.32664351000005</v>
      </c>
      <c r="F345" s="298">
        <v>532.43865543000004</v>
      </c>
      <c r="G345" s="302">
        <v>-0.10110635531286705</v>
      </c>
      <c r="H345" s="303">
        <v>10408.60419969</v>
      </c>
      <c r="I345" s="298">
        <v>459.46433385</v>
      </c>
      <c r="J345" s="298">
        <v>532.43865543000004</v>
      </c>
      <c r="K345" s="302">
        <v>0.15882477964834529</v>
      </c>
      <c r="L345" s="298">
        <v>680.10509880999996</v>
      </c>
      <c r="M345" s="298">
        <v>686.83536936999997</v>
      </c>
      <c r="N345" s="298">
        <v>686.38872545000004</v>
      </c>
      <c r="O345" s="306">
        <v>684.02642450999997</v>
      </c>
      <c r="P345" s="306" cm="1">
        <f t="array" ref="P345">INDEX($E$302:$E$676, MATCH($B345, $B$302:$B$676, 0) * MATCH("Brazil", $A$302:$A$676, 0))</f>
        <v>11000.9308432</v>
      </c>
      <c r="Q345" s="306">
        <f t="shared" si="26"/>
        <v>10408.60419969</v>
      </c>
      <c r="R345" s="336">
        <f>INDEX('Base GDP'!$A$1:$E$76,MATCH(A345,'Base GDP'!$A$1:$A$76,0),4)</f>
        <v>196841.83448053</v>
      </c>
      <c r="S345" s="336">
        <f>INDEX('Base GDP'!$A$1:$E$76,MATCH(A345,'Base GDP'!$A$1:$A$76,0),5)</f>
        <v>201121.93838619001</v>
      </c>
      <c r="T345" s="335">
        <f t="shared" si="27"/>
        <v>2.3341803080759566E-3</v>
      </c>
      <c r="U345" s="335">
        <f t="shared" si="28"/>
        <v>2.647342501282097E-3</v>
      </c>
      <c r="V345" s="335">
        <f t="shared" si="29"/>
        <v>3.131621932061404E-4</v>
      </c>
    </row>
    <row r="346" spans="1:22" x14ac:dyDescent="0.45">
      <c r="A346" s="293" t="s">
        <v>124</v>
      </c>
      <c r="B346" s="297" t="s">
        <v>5</v>
      </c>
      <c r="C346" s="293" t="str">
        <f t="shared" si="25"/>
        <v>BangladeshManufacture of electrical equipment (C27)</v>
      </c>
      <c r="D346" s="297" t="s">
        <v>958</v>
      </c>
      <c r="E346" s="298">
        <v>275.00730564999998</v>
      </c>
      <c r="F346" s="298">
        <v>745.80941623000001</v>
      </c>
      <c r="G346" s="302">
        <v>1.7119621948486956</v>
      </c>
      <c r="H346" s="303">
        <v>10725.923537549999</v>
      </c>
      <c r="I346" s="298">
        <v>437.10648305000001</v>
      </c>
      <c r="J346" s="298">
        <v>745.80941623000001</v>
      </c>
      <c r="K346" s="302">
        <v>0.7062419459577951</v>
      </c>
      <c r="L346" s="298">
        <v>983.68083336999996</v>
      </c>
      <c r="M346" s="298">
        <v>1291.46088867</v>
      </c>
      <c r="N346" s="298">
        <v>1551.5344153200001</v>
      </c>
      <c r="O346" s="306">
        <v>2275.1303819499999</v>
      </c>
      <c r="P346" s="306" cm="1">
        <f t="array" ref="P346">INDEX($E$302:$E$676, MATCH($B346, $B$302:$B$676, 0) * MATCH("Brazil", $A$302:$A$676, 0))</f>
        <v>11000.9308432</v>
      </c>
      <c r="Q346" s="306">
        <f t="shared" si="26"/>
        <v>10725.923537549999</v>
      </c>
      <c r="R346" s="336">
        <f>INDEX('Base GDP'!$A$1:$E$76,MATCH(A346,'Base GDP'!$A$1:$A$76,0),4)</f>
        <v>264392.25455249997</v>
      </c>
      <c r="S346" s="336">
        <f>INDEX('Base GDP'!$A$1:$E$76,MATCH(A346,'Base GDP'!$A$1:$A$76,0),5)</f>
        <v>386628.84638325998</v>
      </c>
      <c r="T346" s="335">
        <f t="shared" si="27"/>
        <v>1.6532499554112485E-3</v>
      </c>
      <c r="U346" s="335">
        <f t="shared" si="28"/>
        <v>1.929006133936238E-3</v>
      </c>
      <c r="V346" s="335">
        <f t="shared" si="29"/>
        <v>2.7575617852498954E-4</v>
      </c>
    </row>
    <row r="347" spans="1:22" x14ac:dyDescent="0.45">
      <c r="A347" s="293" t="s">
        <v>158</v>
      </c>
      <c r="B347" s="297" t="s">
        <v>5</v>
      </c>
      <c r="C347" s="293" t="str">
        <f t="shared" si="25"/>
        <v>GhanaManufacture of electrical equipment (C27)</v>
      </c>
      <c r="D347" s="297" t="s">
        <v>958</v>
      </c>
      <c r="E347" s="298">
        <v>341.79818311000002</v>
      </c>
      <c r="F347" s="298">
        <v>481.89435047000001</v>
      </c>
      <c r="G347" s="302">
        <v>0.40987978954502857</v>
      </c>
      <c r="H347" s="303">
        <v>10659.132660089999</v>
      </c>
      <c r="I347" s="298">
        <v>415.57799062999999</v>
      </c>
      <c r="J347" s="298">
        <v>481.89435047000001</v>
      </c>
      <c r="K347" s="302">
        <v>0.15957620792060467</v>
      </c>
      <c r="L347" s="298">
        <v>526.29355629999998</v>
      </c>
      <c r="M347" s="298">
        <v>601.76880177999999</v>
      </c>
      <c r="N347" s="298">
        <v>668.27132537</v>
      </c>
      <c r="O347" s="306">
        <v>864.00540138999997</v>
      </c>
      <c r="P347" s="306" cm="1">
        <f t="array" ref="P347">INDEX($E$302:$E$676, MATCH($B347, $B$302:$B$676, 0) * MATCH("Brazil", $A$302:$A$676, 0))</f>
        <v>11000.9308432</v>
      </c>
      <c r="Q347" s="306">
        <f t="shared" si="26"/>
        <v>10659.132660089999</v>
      </c>
      <c r="R347" s="336">
        <f>INDEX('Base GDP'!$A$1:$E$76,MATCH(A347,'Base GDP'!$A$1:$A$76,0),4)</f>
        <v>54050.698328470004</v>
      </c>
      <c r="S347" s="336">
        <f>INDEX('Base GDP'!$A$1:$E$76,MATCH(A347,'Base GDP'!$A$1:$A$76,0),5)</f>
        <v>72367.878986030002</v>
      </c>
      <c r="T347" s="335">
        <f t="shared" si="27"/>
        <v>7.688670146396675E-3</v>
      </c>
      <c r="U347" s="335">
        <f t="shared" si="28"/>
        <v>6.658953630007943E-3</v>
      </c>
      <c r="V347" s="335">
        <f t="shared" si="29"/>
        <v>-1.0297165163887321E-3</v>
      </c>
    </row>
    <row r="348" spans="1:22" x14ac:dyDescent="0.45">
      <c r="A348" s="293" t="s">
        <v>149</v>
      </c>
      <c r="B348" s="297" t="s">
        <v>5</v>
      </c>
      <c r="C348" s="293" t="str">
        <f t="shared" si="25"/>
        <v>UkraineManufacture of electrical equipment (C27)</v>
      </c>
      <c r="D348" s="297" t="s">
        <v>958</v>
      </c>
      <c r="E348" s="298">
        <v>582.22750604999999</v>
      </c>
      <c r="F348" s="298">
        <v>560.92385063999996</v>
      </c>
      <c r="G348" s="302">
        <v>-3.658991577799231E-2</v>
      </c>
      <c r="H348" s="303">
        <v>10418.70333715</v>
      </c>
      <c r="I348" s="298">
        <v>413.88932887999999</v>
      </c>
      <c r="J348" s="298">
        <v>560.92385063999996</v>
      </c>
      <c r="K348" s="302">
        <v>0.35525081585911122</v>
      </c>
      <c r="L348" s="298">
        <v>477.62545827000002</v>
      </c>
      <c r="M348" s="298">
        <v>591.90040752000004</v>
      </c>
      <c r="N348" s="298">
        <v>761.57380104000003</v>
      </c>
      <c r="O348" s="306">
        <v>1298.8255703299999</v>
      </c>
      <c r="P348" s="306" cm="1">
        <f t="array" ref="P348">INDEX($E$302:$E$676, MATCH($B348, $B$302:$B$676, 0) * MATCH("Brazil", $A$302:$A$676, 0))</f>
        <v>11000.9308432</v>
      </c>
      <c r="Q348" s="306">
        <f t="shared" si="26"/>
        <v>10418.70333715</v>
      </c>
      <c r="R348" s="336">
        <f>INDEX('Base GDP'!$A$1:$E$76,MATCH(A348,'Base GDP'!$A$1:$A$76,0),4)</f>
        <v>137743.94890503999</v>
      </c>
      <c r="S348" s="336">
        <f>INDEX('Base GDP'!$A$1:$E$76,MATCH(A348,'Base GDP'!$A$1:$A$76,0),5)</f>
        <v>153275.23415388001</v>
      </c>
      <c r="T348" s="335">
        <f t="shared" si="27"/>
        <v>3.0047732199498163E-3</v>
      </c>
      <c r="U348" s="335">
        <f t="shared" si="28"/>
        <v>3.659585671073664E-3</v>
      </c>
      <c r="V348" s="335">
        <f t="shared" si="29"/>
        <v>6.5481245112384776E-4</v>
      </c>
    </row>
    <row r="349" spans="1:22" x14ac:dyDescent="0.45">
      <c r="A349" s="293" t="s">
        <v>160</v>
      </c>
      <c r="B349" s="297" t="s">
        <v>5</v>
      </c>
      <c r="C349" s="293" t="str">
        <f t="shared" si="25"/>
        <v>BulgariaManufacture of electrical equipment (C27)</v>
      </c>
      <c r="D349" s="297" t="s">
        <v>958</v>
      </c>
      <c r="E349" s="298">
        <v>349.28478934999998</v>
      </c>
      <c r="F349" s="298">
        <v>653.65023574999998</v>
      </c>
      <c r="G349" s="302">
        <v>0.87139622359853552</v>
      </c>
      <c r="H349" s="303">
        <v>10651.64605385</v>
      </c>
      <c r="I349" s="298">
        <v>396.76301967000001</v>
      </c>
      <c r="J349" s="298">
        <v>653.65023574999998</v>
      </c>
      <c r="K349" s="302">
        <v>0.64745755865468757</v>
      </c>
      <c r="L349" s="298">
        <v>822.04050554000003</v>
      </c>
      <c r="M349" s="298">
        <v>898.72960473000001</v>
      </c>
      <c r="N349" s="298">
        <v>942.09309445999997</v>
      </c>
      <c r="O349" s="306">
        <v>1029.84550629</v>
      </c>
      <c r="P349" s="306" cm="1">
        <f t="array" ref="P349">INDEX($E$302:$E$676, MATCH($B349, $B$302:$B$676, 0) * MATCH("Brazil", $A$302:$A$676, 0))</f>
        <v>11000.9308432</v>
      </c>
      <c r="Q349" s="306">
        <f t="shared" si="26"/>
        <v>10651.64605385</v>
      </c>
      <c r="R349" s="336">
        <f>INDEX('Base GDP'!$A$1:$E$76,MATCH(A349,'Base GDP'!$A$1:$A$76,0),4)</f>
        <v>60854.013563</v>
      </c>
      <c r="S349" s="336">
        <f>INDEX('Base GDP'!$A$1:$E$76,MATCH(A349,'Base GDP'!$A$1:$A$76,0),5)</f>
        <v>70836.911882080007</v>
      </c>
      <c r="T349" s="335">
        <f t="shared" si="27"/>
        <v>6.5199153915993617E-3</v>
      </c>
      <c r="U349" s="335">
        <f t="shared" si="28"/>
        <v>9.2275371467083582E-3</v>
      </c>
      <c r="V349" s="335">
        <f t="shared" si="29"/>
        <v>2.7076217551089965E-3</v>
      </c>
    </row>
    <row r="350" spans="1:22" x14ac:dyDescent="0.45">
      <c r="A350" s="293" t="s">
        <v>153</v>
      </c>
      <c r="B350" s="297" t="s">
        <v>5</v>
      </c>
      <c r="C350" s="293" t="str">
        <f t="shared" si="25"/>
        <v>OmanManufacture of electrical equipment (C27)</v>
      </c>
      <c r="D350" s="297" t="s">
        <v>958</v>
      </c>
      <c r="E350" s="298">
        <v>268.95646783000001</v>
      </c>
      <c r="F350" s="298">
        <v>410.03766687000001</v>
      </c>
      <c r="G350" s="302">
        <v>0.52455031172246636</v>
      </c>
      <c r="H350" s="303">
        <v>10731.97437537</v>
      </c>
      <c r="I350" s="298">
        <v>368.19399331</v>
      </c>
      <c r="J350" s="298">
        <v>410.03766687000001</v>
      </c>
      <c r="K350" s="302">
        <v>0.1136457256780119</v>
      </c>
      <c r="L350" s="298">
        <v>479.67476154000002</v>
      </c>
      <c r="M350" s="298">
        <v>534.48340671000005</v>
      </c>
      <c r="N350" s="298">
        <v>563.05130548</v>
      </c>
      <c r="O350" s="306">
        <v>634.66942343999995</v>
      </c>
      <c r="P350" s="306" cm="1">
        <f t="array" ref="P350">INDEX($E$302:$E$676, MATCH($B350, $B$302:$B$676, 0) * MATCH("Brazil", $A$302:$A$676, 0))</f>
        <v>11000.9308432</v>
      </c>
      <c r="Q350" s="306">
        <f t="shared" si="26"/>
        <v>10731.97437537</v>
      </c>
      <c r="R350" s="336">
        <f>INDEX('Base GDP'!$A$1:$E$76,MATCH(A350,'Base GDP'!$A$1:$A$76,0),4)</f>
        <v>83456.391863790006</v>
      </c>
      <c r="S350" s="336">
        <f>INDEX('Base GDP'!$A$1:$E$76,MATCH(A350,'Base GDP'!$A$1:$A$76,0),5)</f>
        <v>87715.792114070005</v>
      </c>
      <c r="T350" s="335">
        <f t="shared" si="27"/>
        <v>4.4118129850489228E-3</v>
      </c>
      <c r="U350" s="335">
        <f t="shared" si="28"/>
        <v>4.6746162462600405E-3</v>
      </c>
      <c r="V350" s="335">
        <f t="shared" si="29"/>
        <v>2.6280326121111766E-4</v>
      </c>
    </row>
    <row r="351" spans="1:22" x14ac:dyDescent="0.45">
      <c r="A351" s="293" t="s">
        <v>147</v>
      </c>
      <c r="B351" s="297" t="s">
        <v>5</v>
      </c>
      <c r="C351" s="293" t="str">
        <f t="shared" si="25"/>
        <v>PeruManufacture of electrical equipment (C27)</v>
      </c>
      <c r="D351" s="297" t="s">
        <v>958</v>
      </c>
      <c r="E351" s="298">
        <v>369.11213038</v>
      </c>
      <c r="F351" s="298">
        <v>345.37925224000003</v>
      </c>
      <c r="G351" s="302">
        <v>-6.4297204525809115E-2</v>
      </c>
      <c r="H351" s="303">
        <v>10631.818712820001</v>
      </c>
      <c r="I351" s="298">
        <v>342.82670910000002</v>
      </c>
      <c r="J351" s="298">
        <v>345.37925224000003</v>
      </c>
      <c r="K351" s="302">
        <v>7.4455783993641056E-3</v>
      </c>
      <c r="L351" s="298">
        <v>279.33234500999998</v>
      </c>
      <c r="M351" s="298">
        <v>317.61169864999999</v>
      </c>
      <c r="N351" s="298">
        <v>351.99851229000001</v>
      </c>
      <c r="O351" s="306">
        <v>447.79965648000001</v>
      </c>
      <c r="P351" s="306" cm="1">
        <f t="array" ref="P351">INDEX($E$302:$E$676, MATCH($B351, $B$302:$B$676, 0) * MATCH("Brazil", $A$302:$A$676, 0))</f>
        <v>11000.9308432</v>
      </c>
      <c r="Q351" s="306">
        <f t="shared" si="26"/>
        <v>10631.818712820001</v>
      </c>
      <c r="R351" s="336">
        <f>INDEX('Base GDP'!$A$1:$E$76,MATCH(A351,'Base GDP'!$A$1:$A$76,0),4)</f>
        <v>205342.67167914001</v>
      </c>
      <c r="S351" s="336">
        <f>INDEX('Base GDP'!$A$1:$E$76,MATCH(A351,'Base GDP'!$A$1:$A$76,0),5)</f>
        <v>235110.76142220001</v>
      </c>
      <c r="T351" s="335">
        <f t="shared" si="27"/>
        <v>1.6695346675711267E-3</v>
      </c>
      <c r="U351" s="335">
        <f t="shared" si="28"/>
        <v>1.4690065658874093E-3</v>
      </c>
      <c r="V351" s="335">
        <f t="shared" si="29"/>
        <v>-2.0052810168371738E-4</v>
      </c>
    </row>
    <row r="352" spans="1:22" x14ac:dyDescent="0.45">
      <c r="A352" s="293" t="s">
        <v>175</v>
      </c>
      <c r="B352" s="297" t="s">
        <v>5</v>
      </c>
      <c r="C352" s="293" t="str">
        <f t="shared" si="25"/>
        <v>KenyaManufacture of electrical equipment (C27)</v>
      </c>
      <c r="D352" s="297" t="s">
        <v>958</v>
      </c>
      <c r="E352" s="298">
        <v>58.213861690000002</v>
      </c>
      <c r="F352" s="298">
        <v>82.0510728</v>
      </c>
      <c r="G352" s="302">
        <v>0.40947654764663666</v>
      </c>
      <c r="H352" s="303">
        <v>10942.716981510001</v>
      </c>
      <c r="I352" s="298">
        <v>334.78162556000001</v>
      </c>
      <c r="J352" s="298">
        <v>82.0510728</v>
      </c>
      <c r="K352" s="302">
        <v>-0.75491166021208445</v>
      </c>
      <c r="L352" s="298">
        <v>112.90459361000001</v>
      </c>
      <c r="M352" s="298">
        <v>161.97400658000001</v>
      </c>
      <c r="N352" s="298">
        <v>211.01354376</v>
      </c>
      <c r="O352" s="306">
        <v>374.43291438</v>
      </c>
      <c r="P352" s="306" cm="1">
        <f t="array" ref="P352">INDEX($E$302:$E$676, MATCH($B352, $B$302:$B$676, 0) * MATCH("Brazil", $A$302:$A$676, 0))</f>
        <v>11000.9308432</v>
      </c>
      <c r="Q352" s="306">
        <f t="shared" si="26"/>
        <v>10942.716981510001</v>
      </c>
      <c r="R352" s="336">
        <f>INDEX('Base GDP'!$A$1:$E$76,MATCH(A352,'Base GDP'!$A$1:$A$76,0),4)</f>
        <v>83525.195225389994</v>
      </c>
      <c r="S352" s="336">
        <f>INDEX('Base GDP'!$A$1:$E$76,MATCH(A352,'Base GDP'!$A$1:$A$76,0),5)</f>
        <v>107697.99713524</v>
      </c>
      <c r="T352" s="335">
        <f t="shared" si="27"/>
        <v>4.0081513686571193E-3</v>
      </c>
      <c r="U352" s="335">
        <f t="shared" si="28"/>
        <v>7.6186256924505016E-4</v>
      </c>
      <c r="V352" s="335">
        <f t="shared" si="29"/>
        <v>-3.246288799412069E-3</v>
      </c>
    </row>
    <row r="353" spans="1:22" x14ac:dyDescent="0.45">
      <c r="A353" s="293" t="s">
        <v>127</v>
      </c>
      <c r="B353" s="297" t="s">
        <v>5</v>
      </c>
      <c r="C353" s="293" t="str">
        <f t="shared" si="25"/>
        <v>IrelandManufacture of electrical equipment (C27)</v>
      </c>
      <c r="D353" s="297" t="s">
        <v>958</v>
      </c>
      <c r="E353" s="298">
        <v>482.25747224999998</v>
      </c>
      <c r="F353" s="298">
        <v>506.64898500999999</v>
      </c>
      <c r="G353" s="302">
        <v>5.0577780881652323E-2</v>
      </c>
      <c r="H353" s="303">
        <v>10518.67337095</v>
      </c>
      <c r="I353" s="298">
        <v>323.36044679999998</v>
      </c>
      <c r="J353" s="298">
        <v>506.64898500999999</v>
      </c>
      <c r="K353" s="302">
        <v>0.56682423599991139</v>
      </c>
      <c r="L353" s="298">
        <v>628.59497326999997</v>
      </c>
      <c r="M353" s="298">
        <v>712.00261290000003</v>
      </c>
      <c r="N353" s="298">
        <v>773.84593180000002</v>
      </c>
      <c r="O353" s="306">
        <v>930.89513994000004</v>
      </c>
      <c r="P353" s="306" cm="1">
        <f t="array" ref="P353">INDEX($E$302:$E$676, MATCH($B353, $B$302:$B$676, 0) * MATCH("Brazil", $A$302:$A$676, 0))</f>
        <v>11000.9308432</v>
      </c>
      <c r="Q353" s="306">
        <f t="shared" si="26"/>
        <v>10518.67337095</v>
      </c>
      <c r="R353" s="336">
        <f>INDEX('Base GDP'!$A$1:$E$76,MATCH(A353,'Base GDP'!$A$1:$A$76,0),4)</f>
        <v>308812.05776281998</v>
      </c>
      <c r="S353" s="336">
        <f>INDEX('Base GDP'!$A$1:$E$76,MATCH(A353,'Base GDP'!$A$1:$A$76,0),5)</f>
        <v>483748.84960921999</v>
      </c>
      <c r="T353" s="335">
        <f t="shared" si="27"/>
        <v>1.0471108192554896E-3</v>
      </c>
      <c r="U353" s="335">
        <f t="shared" si="28"/>
        <v>1.047338893765389E-3</v>
      </c>
      <c r="V353" s="335">
        <f t="shared" si="29"/>
        <v>2.2807450989945598E-7</v>
      </c>
    </row>
    <row r="354" spans="1:22" x14ac:dyDescent="0.45">
      <c r="A354" s="293" t="s">
        <v>155</v>
      </c>
      <c r="B354" s="297" t="s">
        <v>5</v>
      </c>
      <c r="C354" s="293" t="str">
        <f t="shared" si="25"/>
        <v>QatarManufacture of electrical equipment (C27)</v>
      </c>
      <c r="D354" s="297" t="s">
        <v>958</v>
      </c>
      <c r="E354" s="298">
        <v>259.54615444000001</v>
      </c>
      <c r="F354" s="298">
        <v>316.68191155</v>
      </c>
      <c r="G354" s="302">
        <v>0.22013717457412074</v>
      </c>
      <c r="H354" s="303">
        <v>10741.384688759999</v>
      </c>
      <c r="I354" s="298">
        <v>322.18920416999998</v>
      </c>
      <c r="J354" s="298">
        <v>316.68191155</v>
      </c>
      <c r="K354" s="302">
        <v>-1.7093349338589636E-2</v>
      </c>
      <c r="L354" s="298">
        <v>398.23714487000001</v>
      </c>
      <c r="M354" s="298">
        <v>449.55500502000001</v>
      </c>
      <c r="N354" s="298">
        <v>473.58819059000001</v>
      </c>
      <c r="O354" s="306">
        <v>519.11511919999998</v>
      </c>
      <c r="P354" s="306" cm="1">
        <f t="array" ref="P354">INDEX($E$302:$E$676, MATCH($B354, $B$302:$B$676, 0) * MATCH("Brazil", $A$302:$A$676, 0))</f>
        <v>11000.9308432</v>
      </c>
      <c r="Q354" s="306">
        <f t="shared" si="26"/>
        <v>10741.384688759999</v>
      </c>
      <c r="R354" s="336">
        <f>INDEX('Base GDP'!$A$1:$E$76,MATCH(A354,'Base GDP'!$A$1:$A$76,0),4)</f>
        <v>170576.82347613</v>
      </c>
      <c r="S354" s="336">
        <f>INDEX('Base GDP'!$A$1:$E$76,MATCH(A354,'Base GDP'!$A$1:$A$76,0),5)</f>
        <v>172715.39534024999</v>
      </c>
      <c r="T354" s="335">
        <f t="shared" si="27"/>
        <v>1.8888216910375644E-3</v>
      </c>
      <c r="U354" s="335">
        <f t="shared" si="28"/>
        <v>1.8335476749257668E-3</v>
      </c>
      <c r="V354" s="335">
        <f t="shared" si="29"/>
        <v>-5.5274016111797565E-5</v>
      </c>
    </row>
    <row r="355" spans="1:22" x14ac:dyDescent="0.45">
      <c r="A355" s="293" t="s">
        <v>170</v>
      </c>
      <c r="B355" s="297" t="s">
        <v>5</v>
      </c>
      <c r="C355" s="293" t="str">
        <f t="shared" si="25"/>
        <v>ChileManufacture of electrical equipment (C27)</v>
      </c>
      <c r="D355" s="297" t="s">
        <v>958</v>
      </c>
      <c r="E355" s="298">
        <v>341.32378427999998</v>
      </c>
      <c r="F355" s="298">
        <v>281.93258015999999</v>
      </c>
      <c r="G355" s="302">
        <v>-0.1740025361704044</v>
      </c>
      <c r="H355" s="303">
        <v>10659.607058919999</v>
      </c>
      <c r="I355" s="298">
        <v>288.99684841999999</v>
      </c>
      <c r="J355" s="298">
        <v>281.93258015999999</v>
      </c>
      <c r="K355" s="302">
        <v>-2.4444101375574512E-2</v>
      </c>
      <c r="L355" s="298">
        <v>239.61885835999999</v>
      </c>
      <c r="M355" s="298">
        <v>257.21961156999998</v>
      </c>
      <c r="N355" s="298">
        <v>272.65687115999998</v>
      </c>
      <c r="O355" s="306">
        <v>304.62751376</v>
      </c>
      <c r="P355" s="306" cm="1">
        <f t="array" ref="P355">INDEX($E$302:$E$676, MATCH($B355, $B$302:$B$676, 0) * MATCH("Brazil", $A$302:$A$676, 0))</f>
        <v>11000.9308432</v>
      </c>
      <c r="Q355" s="306">
        <f t="shared" si="26"/>
        <v>10659.607058919999</v>
      </c>
      <c r="R355" s="336">
        <f>INDEX('Base GDP'!$A$1:$E$76,MATCH(A355,'Base GDP'!$A$1:$A$76,0),4)</f>
        <v>257576.69277617999</v>
      </c>
      <c r="S355" s="336">
        <f>INDEX('Base GDP'!$A$1:$E$76,MATCH(A355,'Base GDP'!$A$1:$A$76,0),5)</f>
        <v>291863.26262717001</v>
      </c>
      <c r="T355" s="335">
        <f t="shared" si="27"/>
        <v>1.1219836907802928E-3</v>
      </c>
      <c r="U355" s="335">
        <f t="shared" si="28"/>
        <v>9.6597488023062491E-4</v>
      </c>
      <c r="V355" s="335">
        <f t="shared" si="29"/>
        <v>-1.5600881054966787E-4</v>
      </c>
    </row>
    <row r="356" spans="1:22" x14ac:dyDescent="0.45">
      <c r="A356" s="293" t="s">
        <v>148</v>
      </c>
      <c r="B356" s="297" t="s">
        <v>5</v>
      </c>
      <c r="C356" s="293" t="str">
        <f t="shared" si="25"/>
        <v>BahrainManufacture of electrical equipment (C27)</v>
      </c>
      <c r="D356" s="297" t="s">
        <v>958</v>
      </c>
      <c r="E356" s="298">
        <v>266.15730931000002</v>
      </c>
      <c r="F356" s="298">
        <v>273.45674895000002</v>
      </c>
      <c r="G356" s="302">
        <v>2.742528341199213E-2</v>
      </c>
      <c r="H356" s="303">
        <v>10734.77353389</v>
      </c>
      <c r="I356" s="298">
        <v>285.11055326000002</v>
      </c>
      <c r="J356" s="298">
        <v>273.45674895000002</v>
      </c>
      <c r="K356" s="302">
        <v>-4.0874685895518459E-2</v>
      </c>
      <c r="L356" s="298">
        <v>293.49653262999999</v>
      </c>
      <c r="M356" s="298">
        <v>306.83831624999999</v>
      </c>
      <c r="N356" s="298">
        <v>318.48412221000001</v>
      </c>
      <c r="O356" s="306">
        <v>343.34368697999997</v>
      </c>
      <c r="P356" s="306" cm="1">
        <f t="array" ref="P356">INDEX($E$302:$E$676, MATCH($B356, $B$302:$B$676, 0) * MATCH("Brazil", $A$302:$A$676, 0))</f>
        <v>11000.9308432</v>
      </c>
      <c r="Q356" s="306">
        <f t="shared" si="26"/>
        <v>10734.77353389</v>
      </c>
      <c r="R356" s="336">
        <f>INDEX('Base GDP'!$A$1:$E$76,MATCH(A356,'Base GDP'!$A$1:$A$76,0),4)</f>
        <v>33332.328188890002</v>
      </c>
      <c r="S356" s="336">
        <f>INDEX('Base GDP'!$A$1:$E$76,MATCH(A356,'Base GDP'!$A$1:$A$76,0),5)</f>
        <v>36767.801730239997</v>
      </c>
      <c r="T356" s="335">
        <f t="shared" si="27"/>
        <v>8.5535745251371382E-3</v>
      </c>
      <c r="U356" s="335">
        <f t="shared" si="28"/>
        <v>7.4373972900613518E-3</v>
      </c>
      <c r="V356" s="335">
        <f t="shared" si="29"/>
        <v>-1.1161772350757864E-3</v>
      </c>
    </row>
    <row r="357" spans="1:22" x14ac:dyDescent="0.45">
      <c r="A357" s="293" t="s">
        <v>159</v>
      </c>
      <c r="B357" s="297" t="s">
        <v>5</v>
      </c>
      <c r="C357" s="293" t="str">
        <f t="shared" si="25"/>
        <v>KuwaitManufacture of electrical equipment (C27)</v>
      </c>
      <c r="D357" s="297" t="s">
        <v>958</v>
      </c>
      <c r="E357" s="298">
        <v>286.37380037000003</v>
      </c>
      <c r="F357" s="298">
        <v>272.25561965000003</v>
      </c>
      <c r="G357" s="302">
        <v>-4.9299833650142122E-2</v>
      </c>
      <c r="H357" s="303">
        <v>10714.55704283</v>
      </c>
      <c r="I357" s="298">
        <v>283.97339700999999</v>
      </c>
      <c r="J357" s="298">
        <v>272.25561965000003</v>
      </c>
      <c r="K357" s="302">
        <v>-4.1263644705378244E-2</v>
      </c>
      <c r="L357" s="298">
        <v>341.76556476000002</v>
      </c>
      <c r="M357" s="298">
        <v>362.8756454</v>
      </c>
      <c r="N357" s="298">
        <v>368.67225990999998</v>
      </c>
      <c r="O357" s="306">
        <v>382.59551034999998</v>
      </c>
      <c r="P357" s="306" cm="1">
        <f t="array" ref="P357">INDEX($E$302:$E$676, MATCH($B357, $B$302:$B$676, 0) * MATCH("Brazil", $A$302:$A$676, 0))</f>
        <v>11000.9308432</v>
      </c>
      <c r="Q357" s="306">
        <f t="shared" si="26"/>
        <v>10714.55704283</v>
      </c>
      <c r="R357" s="336">
        <f>INDEX('Base GDP'!$A$1:$E$76,MATCH(A357,'Base GDP'!$A$1:$A$76,0),4)</f>
        <v>136318.13330372999</v>
      </c>
      <c r="S357" s="336">
        <f>INDEX('Base GDP'!$A$1:$E$76,MATCH(A357,'Base GDP'!$A$1:$A$76,0),5)</f>
        <v>128320.86664452001</v>
      </c>
      <c r="T357" s="335">
        <f t="shared" si="27"/>
        <v>2.0831667081097696E-3</v>
      </c>
      <c r="U357" s="335">
        <f t="shared" si="28"/>
        <v>2.1216784671834726E-3</v>
      </c>
      <c r="V357" s="335">
        <f t="shared" si="29"/>
        <v>3.8511759073702953E-5</v>
      </c>
    </row>
    <row r="358" spans="1:22" x14ac:dyDescent="0.45">
      <c r="A358" s="293" t="s">
        <v>166</v>
      </c>
      <c r="B358" s="297" t="s">
        <v>5</v>
      </c>
      <c r="C358" s="293" t="str">
        <f t="shared" si="25"/>
        <v>HondurasManufacture of electrical equipment (C27)</v>
      </c>
      <c r="D358" s="297" t="s">
        <v>958</v>
      </c>
      <c r="E358" s="298">
        <v>177.99330067</v>
      </c>
      <c r="F358" s="298">
        <v>237.86936234999999</v>
      </c>
      <c r="G358" s="302">
        <v>0.33639502978266789</v>
      </c>
      <c r="H358" s="303">
        <v>10822.93754253</v>
      </c>
      <c r="I358" s="298">
        <v>207.40880605999999</v>
      </c>
      <c r="J358" s="298">
        <v>237.86936234999999</v>
      </c>
      <c r="K358" s="302">
        <v>0.1468624060310546</v>
      </c>
      <c r="L358" s="298">
        <v>274.87040429000001</v>
      </c>
      <c r="M358" s="298">
        <v>318.73470687999998</v>
      </c>
      <c r="N358" s="298">
        <v>355.94127746999999</v>
      </c>
      <c r="O358" s="306">
        <v>458.22915363999999</v>
      </c>
      <c r="P358" s="306" cm="1">
        <f t="array" ref="P358">INDEX($E$302:$E$676, MATCH($B358, $B$302:$B$676, 0) * MATCH("Brazil", $A$302:$A$676, 0))</f>
        <v>11000.9308432</v>
      </c>
      <c r="Q358" s="306">
        <f t="shared" si="26"/>
        <v>10822.93754253</v>
      </c>
      <c r="R358" s="336">
        <f>INDEX('Base GDP'!$A$1:$E$76,MATCH(A358,'Base GDP'!$A$1:$A$76,0),4)</f>
        <v>21608.112082880001</v>
      </c>
      <c r="S358" s="336">
        <f>INDEX('Base GDP'!$A$1:$E$76,MATCH(A358,'Base GDP'!$A$1:$A$76,0),5)</f>
        <v>25703.55773198</v>
      </c>
      <c r="T358" s="335">
        <f t="shared" si="27"/>
        <v>9.5986546748954033E-3</v>
      </c>
      <c r="U358" s="335">
        <f t="shared" si="28"/>
        <v>9.2543361051550584E-3</v>
      </c>
      <c r="V358" s="335">
        <f t="shared" si="29"/>
        <v>-3.4431856974034489E-4</v>
      </c>
    </row>
    <row r="359" spans="1:22" x14ac:dyDescent="0.45">
      <c r="A359" s="293" t="s">
        <v>176</v>
      </c>
      <c r="B359" s="297" t="s">
        <v>5</v>
      </c>
      <c r="C359" s="293" t="str">
        <f t="shared" si="25"/>
        <v>JordanManufacture of electrical equipment (C27)</v>
      </c>
      <c r="D359" s="297" t="s">
        <v>958</v>
      </c>
      <c r="E359" s="298">
        <v>246.78819111999999</v>
      </c>
      <c r="F359" s="298">
        <v>186.02150567999999</v>
      </c>
      <c r="G359" s="302">
        <v>-0.24623011807907935</v>
      </c>
      <c r="H359" s="303">
        <v>10754.14265208</v>
      </c>
      <c r="I359" s="298">
        <v>200.13711966</v>
      </c>
      <c r="J359" s="298">
        <v>186.02150567999999</v>
      </c>
      <c r="K359" s="302">
        <v>-7.0529714847401115E-2</v>
      </c>
      <c r="L359" s="298">
        <v>242.81278674000001</v>
      </c>
      <c r="M359" s="298">
        <v>268.95933925999998</v>
      </c>
      <c r="N359" s="298">
        <v>288.60916621000001</v>
      </c>
      <c r="O359" s="306">
        <v>335.46716301999999</v>
      </c>
      <c r="P359" s="306" cm="1">
        <f t="array" ref="P359">INDEX($E$302:$E$676, MATCH($B359, $B$302:$B$676, 0) * MATCH("Brazil", $A$302:$A$676, 0))</f>
        <v>11000.9308432</v>
      </c>
      <c r="Q359" s="306">
        <f t="shared" si="26"/>
        <v>10754.14265208</v>
      </c>
      <c r="R359" s="336">
        <f>INDEX('Base GDP'!$A$1:$E$76,MATCH(A359,'Base GDP'!$A$1:$A$76,0),4)</f>
        <v>41181.394892199998</v>
      </c>
      <c r="S359" s="336">
        <f>INDEX('Base GDP'!$A$1:$E$76,MATCH(A359,'Base GDP'!$A$1:$A$76,0),5)</f>
        <v>44841.419332370002</v>
      </c>
      <c r="T359" s="335">
        <f t="shared" si="27"/>
        <v>4.859891710416714E-3</v>
      </c>
      <c r="U359" s="335">
        <f t="shared" si="28"/>
        <v>4.1484303674954219E-3</v>
      </c>
      <c r="V359" s="335">
        <f t="shared" si="29"/>
        <v>-7.1146134292129209E-4</v>
      </c>
    </row>
    <row r="360" spans="1:22" x14ac:dyDescent="0.45">
      <c r="A360" s="293" t="s">
        <v>168</v>
      </c>
      <c r="B360" s="297" t="s">
        <v>5</v>
      </c>
      <c r="C360" s="293" t="str">
        <f t="shared" si="25"/>
        <v>TunisiaManufacture of electrical equipment (C27)</v>
      </c>
      <c r="D360" s="297" t="s">
        <v>958</v>
      </c>
      <c r="E360" s="298">
        <v>179.48701220000001</v>
      </c>
      <c r="F360" s="298">
        <v>193.56923504</v>
      </c>
      <c r="G360" s="302">
        <v>7.8458171805257715E-2</v>
      </c>
      <c r="H360" s="303">
        <v>10821.443831000001</v>
      </c>
      <c r="I360" s="298">
        <v>189.29503450999999</v>
      </c>
      <c r="J360" s="298">
        <v>193.56923504</v>
      </c>
      <c r="K360" s="302">
        <v>2.2579570251612724E-2</v>
      </c>
      <c r="L360" s="298">
        <v>286.82388584</v>
      </c>
      <c r="M360" s="298">
        <v>334.90682958000002</v>
      </c>
      <c r="N360" s="298">
        <v>372.45472551</v>
      </c>
      <c r="O360" s="306">
        <v>469.42043353999998</v>
      </c>
      <c r="P360" s="306" cm="1">
        <f t="array" ref="P360">INDEX($E$302:$E$676, MATCH($B360, $B$302:$B$676, 0) * MATCH("Brazil", $A$302:$A$676, 0))</f>
        <v>11000.9308432</v>
      </c>
      <c r="Q360" s="306">
        <f t="shared" si="26"/>
        <v>10821.443831000001</v>
      </c>
      <c r="R360" s="336">
        <f>INDEX('Base GDP'!$A$1:$E$76,MATCH(A360,'Base GDP'!$A$1:$A$76,0),4)</f>
        <v>38884.65391288</v>
      </c>
      <c r="S360" s="336">
        <f>INDEX('Base GDP'!$A$1:$E$76,MATCH(A360,'Base GDP'!$A$1:$A$76,0),5)</f>
        <v>40072.692608359997</v>
      </c>
      <c r="T360" s="335">
        <f t="shared" si="27"/>
        <v>4.8681167365951187E-3</v>
      </c>
      <c r="U360" s="335">
        <f t="shared" si="28"/>
        <v>4.8304524213483328E-3</v>
      </c>
      <c r="V360" s="335">
        <f t="shared" si="29"/>
        <v>-3.7664315246785894E-5</v>
      </c>
    </row>
    <row r="361" spans="1:22" x14ac:dyDescent="0.45">
      <c r="A361" s="293" t="s">
        <v>167</v>
      </c>
      <c r="B361" s="297" t="s">
        <v>5</v>
      </c>
      <c r="C361" s="293" t="str">
        <f t="shared" si="25"/>
        <v>Hong Kong SARManufacture of electrical equipment (C27)</v>
      </c>
      <c r="D361" s="297" t="s">
        <v>958</v>
      </c>
      <c r="E361" s="298">
        <v>250.98342159000001</v>
      </c>
      <c r="F361" s="298">
        <v>168.18758948999999</v>
      </c>
      <c r="G361" s="302">
        <v>-0.32988566167232003</v>
      </c>
      <c r="H361" s="303">
        <v>10749.947421610001</v>
      </c>
      <c r="I361" s="298">
        <v>178.03409644999999</v>
      </c>
      <c r="J361" s="298">
        <v>168.18758948999999</v>
      </c>
      <c r="K361" s="302">
        <v>-5.5306860631414767E-2</v>
      </c>
      <c r="L361" s="298">
        <v>200.54979109999999</v>
      </c>
      <c r="M361" s="298">
        <v>198.84362913999999</v>
      </c>
      <c r="N361" s="298">
        <v>196.08135666000001</v>
      </c>
      <c r="O361" s="306">
        <v>192.34428826999999</v>
      </c>
      <c r="P361" s="306" cm="1">
        <f t="array" ref="P361">INDEX($E$302:$E$676, MATCH($B361, $B$302:$B$676, 0) * MATCH("Brazil", $A$302:$A$676, 0))</f>
        <v>11000.9308432</v>
      </c>
      <c r="Q361" s="306">
        <f t="shared" si="26"/>
        <v>10749.947421610001</v>
      </c>
      <c r="R361" s="336">
        <f>INDEX('Base GDP'!$A$1:$E$76,MATCH(A361,'Base GDP'!$A$1:$A$76,0),4)</f>
        <v>338559.97086627001</v>
      </c>
      <c r="S361" s="336">
        <f>INDEX('Base GDP'!$A$1:$E$76,MATCH(A361,'Base GDP'!$A$1:$A$76,0),5)</f>
        <v>361197.76240428002</v>
      </c>
      <c r="T361" s="335">
        <f t="shared" si="27"/>
        <v>5.2585689913212694E-4</v>
      </c>
      <c r="U361" s="335">
        <f t="shared" si="28"/>
        <v>4.6563851439852398E-4</v>
      </c>
      <c r="V361" s="335">
        <f t="shared" si="29"/>
        <v>-6.0218384733602952E-5</v>
      </c>
    </row>
    <row r="362" spans="1:22" x14ac:dyDescent="0.45">
      <c r="A362" s="293" t="s">
        <v>174</v>
      </c>
      <c r="B362" s="297" t="s">
        <v>5</v>
      </c>
      <c r="C362" s="293" t="str">
        <f t="shared" si="25"/>
        <v>Sri LankaManufacture of electrical equipment (C27)</v>
      </c>
      <c r="D362" s="297" t="s">
        <v>958</v>
      </c>
      <c r="E362" s="298">
        <v>114.75401136000001</v>
      </c>
      <c r="F362" s="298">
        <v>195.09953038</v>
      </c>
      <c r="G362" s="302">
        <v>0.7001543394238694</v>
      </c>
      <c r="H362" s="303">
        <v>10886.176831839999</v>
      </c>
      <c r="I362" s="298">
        <v>167.20380182</v>
      </c>
      <c r="J362" s="298">
        <v>195.09953038</v>
      </c>
      <c r="K362" s="302">
        <v>0.1668366882592216</v>
      </c>
      <c r="L362" s="298">
        <v>182.32394672000001</v>
      </c>
      <c r="M362" s="298">
        <v>211.55561291999999</v>
      </c>
      <c r="N362" s="298">
        <v>235.26399609000001</v>
      </c>
      <c r="O362" s="306">
        <v>294.40025908000001</v>
      </c>
      <c r="P362" s="306" cm="1">
        <f t="array" ref="P362">INDEX($E$302:$E$676, MATCH($B362, $B$302:$B$676, 0) * MATCH("Brazil", $A$302:$A$676, 0))</f>
        <v>11000.9308432</v>
      </c>
      <c r="Q362" s="306">
        <f t="shared" si="26"/>
        <v>10886.176831839999</v>
      </c>
      <c r="R362" s="336">
        <f>INDEX('Base GDP'!$A$1:$E$76,MATCH(A362,'Base GDP'!$A$1:$A$76,0),4)</f>
        <v>77969.257644440004</v>
      </c>
      <c r="S362" s="336">
        <f>INDEX('Base GDP'!$A$1:$E$76,MATCH(A362,'Base GDP'!$A$1:$A$76,0),5)</f>
        <v>87884.425158479993</v>
      </c>
      <c r="T362" s="335">
        <f t="shared" si="27"/>
        <v>2.1444836961574342E-3</v>
      </c>
      <c r="U362" s="335">
        <f t="shared" si="28"/>
        <v>2.2199556978176899E-3</v>
      </c>
      <c r="V362" s="335">
        <f t="shared" si="29"/>
        <v>7.5472001660255739E-5</v>
      </c>
    </row>
    <row r="363" spans="1:22" x14ac:dyDescent="0.45">
      <c r="A363" s="293" t="s">
        <v>169</v>
      </c>
      <c r="B363" s="297" t="s">
        <v>5</v>
      </c>
      <c r="C363" s="293" t="str">
        <f t="shared" si="25"/>
        <v>Costa RicaManufacture of electrical equipment (C27)</v>
      </c>
      <c r="D363" s="297" t="s">
        <v>958</v>
      </c>
      <c r="E363" s="298">
        <v>122.56763528</v>
      </c>
      <c r="F363" s="298">
        <v>156.18462804999999</v>
      </c>
      <c r="G363" s="302">
        <v>0.27427299786932768</v>
      </c>
      <c r="H363" s="303">
        <v>10878.36320792</v>
      </c>
      <c r="I363" s="298">
        <v>140.98029324000001</v>
      </c>
      <c r="J363" s="298">
        <v>156.18462804999999</v>
      </c>
      <c r="K363" s="302">
        <v>0.10784723496153203</v>
      </c>
      <c r="L363" s="298">
        <v>188.59497658000001</v>
      </c>
      <c r="M363" s="298">
        <v>209.14823192</v>
      </c>
      <c r="N363" s="298">
        <v>226.95371485999999</v>
      </c>
      <c r="O363" s="306">
        <v>277.05278980000003</v>
      </c>
      <c r="P363" s="306" cm="1">
        <f t="array" ref="P363">INDEX($E$302:$E$676, MATCH($B363, $B$302:$B$676, 0) * MATCH("Brazil", $A$302:$A$676, 0))</f>
        <v>11000.9308432</v>
      </c>
      <c r="Q363" s="306">
        <f t="shared" si="26"/>
        <v>10878.36320792</v>
      </c>
      <c r="R363" s="336">
        <f>INDEX('Base GDP'!$A$1:$E$76,MATCH(A363,'Base GDP'!$A$1:$A$76,0),4)</f>
        <v>56790.776904650003</v>
      </c>
      <c r="S363" s="336">
        <f>INDEX('Base GDP'!$A$1:$E$76,MATCH(A363,'Base GDP'!$A$1:$A$76,0),5)</f>
        <v>66933.267445050005</v>
      </c>
      <c r="T363" s="335">
        <f t="shared" si="27"/>
        <v>2.4824505126369665E-3</v>
      </c>
      <c r="U363" s="335">
        <f t="shared" si="28"/>
        <v>2.3334379750431637E-3</v>
      </c>
      <c r="V363" s="335">
        <f t="shared" si="29"/>
        <v>-1.4901253759380282E-4</v>
      </c>
    </row>
    <row r="364" spans="1:22" x14ac:dyDescent="0.45">
      <c r="A364" s="293" t="s">
        <v>165</v>
      </c>
      <c r="B364" s="297" t="s">
        <v>5</v>
      </c>
      <c r="C364" s="293" t="str">
        <f t="shared" si="25"/>
        <v>EcuadorManufacture of electrical equipment (C27)</v>
      </c>
      <c r="D364" s="297" t="s">
        <v>958</v>
      </c>
      <c r="E364" s="298">
        <v>81.242129169999998</v>
      </c>
      <c r="F364" s="298">
        <v>136.71460564</v>
      </c>
      <c r="G364" s="302">
        <v>0.68280431639012407</v>
      </c>
      <c r="H364" s="303">
        <v>10919.68871403</v>
      </c>
      <c r="I364" s="298">
        <v>100.13585359</v>
      </c>
      <c r="J364" s="298">
        <v>136.71460564</v>
      </c>
      <c r="K364" s="302">
        <v>0.3652912592104065</v>
      </c>
      <c r="L364" s="298">
        <v>159.37452245</v>
      </c>
      <c r="M364" s="298">
        <v>178.37894657999999</v>
      </c>
      <c r="N364" s="298">
        <v>194.75162366000001</v>
      </c>
      <c r="O364" s="306">
        <v>238.97019222</v>
      </c>
      <c r="P364" s="306" cm="1">
        <f t="array" ref="P364">INDEX($E$302:$E$676, MATCH($B364, $B$302:$B$676, 0) * MATCH("Brazil", $A$302:$A$676, 0))</f>
        <v>11000.9308432</v>
      </c>
      <c r="Q364" s="306">
        <f t="shared" si="26"/>
        <v>10919.68871403</v>
      </c>
      <c r="R364" s="336">
        <f>INDEX('Base GDP'!$A$1:$E$76,MATCH(A364,'Base GDP'!$A$1:$A$76,0),4)</f>
        <v>105544.34131757999</v>
      </c>
      <c r="S364" s="336">
        <f>INDEX('Base GDP'!$A$1:$E$76,MATCH(A364,'Base GDP'!$A$1:$A$76,0),5)</f>
        <v>103911.06087433999</v>
      </c>
      <c r="T364" s="335">
        <f t="shared" si="27"/>
        <v>9.4875625106886582E-4</v>
      </c>
      <c r="U364" s="335">
        <f t="shared" si="28"/>
        <v>1.3156886715393027E-3</v>
      </c>
      <c r="V364" s="335">
        <f t="shared" si="29"/>
        <v>3.6693242047043683E-4</v>
      </c>
    </row>
    <row r="365" spans="1:22" x14ac:dyDescent="0.45">
      <c r="A365" s="293" t="s">
        <v>172</v>
      </c>
      <c r="B365" s="297" t="s">
        <v>5</v>
      </c>
      <c r="C365" s="293" t="str">
        <f t="shared" si="25"/>
        <v>UruguayManufacture of electrical equipment (C27)</v>
      </c>
      <c r="D365" s="297" t="s">
        <v>958</v>
      </c>
      <c r="E365" s="298">
        <v>46.969558370000001</v>
      </c>
      <c r="F365" s="298">
        <v>51.619016469999998</v>
      </c>
      <c r="G365" s="302">
        <v>9.8988754873404528E-2</v>
      </c>
      <c r="H365" s="303">
        <v>10953.96128483</v>
      </c>
      <c r="I365" s="298">
        <v>56.238907949999998</v>
      </c>
      <c r="J365" s="298">
        <v>51.619016469999998</v>
      </c>
      <c r="K365" s="302">
        <v>-8.214760293900758E-2</v>
      </c>
      <c r="L365" s="298">
        <v>60.455173240000001</v>
      </c>
      <c r="M365" s="298">
        <v>66.143270540000003</v>
      </c>
      <c r="N365" s="298">
        <v>70.422215800000004</v>
      </c>
      <c r="O365" s="306">
        <v>79.051371990000007</v>
      </c>
      <c r="P365" s="306" cm="1">
        <f t="array" ref="P365">INDEX($E$302:$E$676, MATCH($B365, $B$302:$B$676, 0) * MATCH("Brazil", $A$302:$A$676, 0))</f>
        <v>11000.9308432</v>
      </c>
      <c r="Q365" s="306">
        <f t="shared" si="26"/>
        <v>10953.96128483</v>
      </c>
      <c r="R365" s="336">
        <f>INDEX('Base GDP'!$A$1:$E$76,MATCH(A365,'Base GDP'!$A$1:$A$76,0),4)</f>
        <v>59449.563607900003</v>
      </c>
      <c r="S365" s="336">
        <f>INDEX('Base GDP'!$A$1:$E$76,MATCH(A365,'Base GDP'!$A$1:$A$76,0),5)</f>
        <v>61243.536031950003</v>
      </c>
      <c r="T365" s="335">
        <f t="shared" si="27"/>
        <v>9.4599362109575936E-4</v>
      </c>
      <c r="U365" s="335">
        <f t="shared" si="28"/>
        <v>8.4284840187984883E-4</v>
      </c>
      <c r="V365" s="335">
        <f t="shared" si="29"/>
        <v>-1.0314521921591052E-4</v>
      </c>
    </row>
    <row r="366" spans="1:22" x14ac:dyDescent="0.45">
      <c r="A366" s="293" t="s">
        <v>177</v>
      </c>
      <c r="B366" s="297" t="s">
        <v>5</v>
      </c>
      <c r="C366" s="293" t="str">
        <f t="shared" si="25"/>
        <v>BoliviaManufacture of electrical equipment (C27)</v>
      </c>
      <c r="D366" s="297" t="s">
        <v>958</v>
      </c>
      <c r="E366" s="298">
        <v>23.218953290000002</v>
      </c>
      <c r="F366" s="298">
        <v>31.828575239999999</v>
      </c>
      <c r="G366" s="302">
        <v>0.37080146733866814</v>
      </c>
      <c r="H366" s="303">
        <v>10977.711889910001</v>
      </c>
      <c r="I366" s="298">
        <v>28.747373499999998</v>
      </c>
      <c r="J366" s="298">
        <v>31.828575239999999</v>
      </c>
      <c r="K366" s="302">
        <v>0.10718202621189032</v>
      </c>
      <c r="L366" s="298">
        <v>37.885229690000003</v>
      </c>
      <c r="M366" s="298">
        <v>41.686791339999999</v>
      </c>
      <c r="N366" s="298">
        <v>44.885357419999998</v>
      </c>
      <c r="O366" s="306">
        <v>51.829434259999999</v>
      </c>
      <c r="P366" s="306" cm="1">
        <f t="array" ref="P366">INDEX($E$302:$E$676, MATCH($B366, $B$302:$B$676, 0) * MATCH("Brazil", $A$302:$A$676, 0))</f>
        <v>11000.9308432</v>
      </c>
      <c r="Q366" s="306">
        <f t="shared" si="26"/>
        <v>10977.711889910001</v>
      </c>
      <c r="R366" s="336">
        <f>INDEX('Base GDP'!$A$1:$E$76,MATCH(A366,'Base GDP'!$A$1:$A$76,0),4)</f>
        <v>35334.894672080001</v>
      </c>
      <c r="S366" s="336">
        <f>INDEX('Base GDP'!$A$1:$E$76,MATCH(A366,'Base GDP'!$A$1:$A$76,0),5)</f>
        <v>39600.741188879998</v>
      </c>
      <c r="T366" s="335">
        <f t="shared" si="27"/>
        <v>8.1356895971490875E-4</v>
      </c>
      <c r="U366" s="335">
        <f t="shared" si="28"/>
        <v>8.0373685654493642E-4</v>
      </c>
      <c r="V366" s="335">
        <f t="shared" si="29"/>
        <v>-9.8321031699723314E-6</v>
      </c>
    </row>
    <row r="367" spans="1:22" x14ac:dyDescent="0.45">
      <c r="A367" s="293" t="s">
        <v>173</v>
      </c>
      <c r="B367" s="297" t="s">
        <v>5</v>
      </c>
      <c r="C367" s="293" t="str">
        <f t="shared" si="25"/>
        <v>PanamaManufacture of electrical equipment (C27)</v>
      </c>
      <c r="D367" s="297" t="s">
        <v>958</v>
      </c>
      <c r="E367" s="298">
        <v>12.163936290000001</v>
      </c>
      <c r="F367" s="298">
        <v>21.31460757</v>
      </c>
      <c r="G367" s="302">
        <v>0.75227879050326707</v>
      </c>
      <c r="H367" s="303">
        <v>10988.766906909999</v>
      </c>
      <c r="I367" s="298">
        <v>20.917689930000002</v>
      </c>
      <c r="J367" s="298">
        <v>21.31460757</v>
      </c>
      <c r="K367" s="302">
        <v>1.8975213865788376E-2</v>
      </c>
      <c r="L367" s="298">
        <v>22.768827399999999</v>
      </c>
      <c r="M367" s="298">
        <v>24.202426460000002</v>
      </c>
      <c r="N367" s="298">
        <v>25.191044309999999</v>
      </c>
      <c r="O367" s="306">
        <v>27.273183339999999</v>
      </c>
      <c r="P367" s="306" cm="1">
        <f t="array" ref="P367">INDEX($E$302:$E$676, MATCH($B367, $B$302:$B$676, 0) * MATCH("Brazil", $A$302:$A$676, 0))</f>
        <v>11000.9308432</v>
      </c>
      <c r="Q367" s="306">
        <f t="shared" si="26"/>
        <v>10988.766906909999</v>
      </c>
      <c r="R367" s="336">
        <f>INDEX('Base GDP'!$A$1:$E$76,MATCH(A367,'Base GDP'!$A$1:$A$76,0),4)</f>
        <v>58921.61186117</v>
      </c>
      <c r="S367" s="336">
        <f>INDEX('Base GDP'!$A$1:$E$76,MATCH(A367,'Base GDP'!$A$1:$A$76,0),5)</f>
        <v>65983.988595749994</v>
      </c>
      <c r="T367" s="335">
        <f t="shared" si="27"/>
        <v>3.5500878657708604E-4</v>
      </c>
      <c r="U367" s="335">
        <f t="shared" si="28"/>
        <v>3.2302696492907774E-4</v>
      </c>
      <c r="V367" s="335">
        <f t="shared" si="29"/>
        <v>-3.1981821648008303E-5</v>
      </c>
    </row>
    <row r="368" spans="1:22" x14ac:dyDescent="0.45">
      <c r="A368" s="293" t="s">
        <v>171</v>
      </c>
      <c r="B368" s="297" t="s">
        <v>5</v>
      </c>
      <c r="C368" s="293" t="str">
        <f t="shared" si="25"/>
        <v>CameroonManufacture of electrical equipment (C27)</v>
      </c>
      <c r="D368" s="297" t="s">
        <v>958</v>
      </c>
      <c r="E368" s="298">
        <v>5.6938824800000001</v>
      </c>
      <c r="F368" s="298">
        <v>8.7181390299999997</v>
      </c>
      <c r="G368" s="302">
        <v>0.53114137157253016</v>
      </c>
      <c r="H368" s="303">
        <v>10995.23696072</v>
      </c>
      <c r="I368" s="298">
        <v>7.04263847</v>
      </c>
      <c r="J368" s="298">
        <v>8.7181390299999997</v>
      </c>
      <c r="K368" s="302">
        <v>0.23790807481276266</v>
      </c>
      <c r="L368" s="298">
        <v>11.13453679</v>
      </c>
      <c r="M368" s="298">
        <v>13.185393660000001</v>
      </c>
      <c r="N368" s="298">
        <v>14.537357289999999</v>
      </c>
      <c r="O368" s="306">
        <v>17.96038587</v>
      </c>
      <c r="P368" s="306" cm="1">
        <f t="array" ref="P368">INDEX($E$302:$E$676, MATCH($B368, $B$302:$B$676, 0) * MATCH("Brazil", $A$302:$A$676, 0))</f>
        <v>11000.9308432</v>
      </c>
      <c r="Q368" s="306">
        <f t="shared" si="26"/>
        <v>10995.23696072</v>
      </c>
      <c r="R368" s="336">
        <f>INDEX('Base GDP'!$A$1:$E$76,MATCH(A368,'Base GDP'!$A$1:$A$76,0),4)</f>
        <v>34069.891642009999</v>
      </c>
      <c r="S368" s="336">
        <f>INDEX('Base GDP'!$A$1:$E$76,MATCH(A368,'Base GDP'!$A$1:$A$76,0),5)</f>
        <v>41316.84413338</v>
      </c>
      <c r="T368" s="335">
        <f t="shared" si="27"/>
        <v>2.0671150187387299E-4</v>
      </c>
      <c r="U368" s="335">
        <f t="shared" si="28"/>
        <v>2.1100689592496222E-4</v>
      </c>
      <c r="V368" s="335">
        <f t="shared" si="29"/>
        <v>4.2953940510892291E-6</v>
      </c>
    </row>
    <row r="369" spans="1:22" x14ac:dyDescent="0.45">
      <c r="A369" s="293" t="s">
        <v>102</v>
      </c>
      <c r="B369" s="297" t="s">
        <v>5</v>
      </c>
      <c r="C369" s="293" t="str">
        <f t="shared" si="25"/>
        <v>NigeriaManufacture of electrical equipment (C27)</v>
      </c>
      <c r="D369" s="297" t="s">
        <v>958</v>
      </c>
      <c r="E369" s="298">
        <v>4.0073605399999996</v>
      </c>
      <c r="F369" s="298">
        <v>6.0466839300000004</v>
      </c>
      <c r="G369" s="302">
        <v>0.50889441307918881</v>
      </c>
      <c r="H369" s="303">
        <v>10996.92348266</v>
      </c>
      <c r="I369" s="298">
        <v>6.7557576900000003</v>
      </c>
      <c r="J369" s="298">
        <v>6.0466839300000004</v>
      </c>
      <c r="K369" s="302">
        <v>-0.10495843583164388</v>
      </c>
      <c r="L369" s="298">
        <v>6.6040942999999999</v>
      </c>
      <c r="M369" s="298">
        <v>7.30337806</v>
      </c>
      <c r="N369" s="298">
        <v>7.9532910000000001</v>
      </c>
      <c r="O369" s="306">
        <v>9.5091133400000007</v>
      </c>
      <c r="P369" s="306" cm="1">
        <f t="array" ref="P369">INDEX($E$302:$E$676, MATCH($B369, $B$302:$B$676, 0) * MATCH("Brazil", $A$302:$A$676, 0))</f>
        <v>11000.9308432</v>
      </c>
      <c r="Q369" s="306">
        <f t="shared" si="26"/>
        <v>10996.92348266</v>
      </c>
      <c r="R369" s="336">
        <f>INDEX('Base GDP'!$A$1:$E$76,MATCH(A369,'Base GDP'!$A$1:$A$76,0),4)</f>
        <v>460034.71302222001</v>
      </c>
      <c r="S369" s="336">
        <f>INDEX('Base GDP'!$A$1:$E$76,MATCH(A369,'Base GDP'!$A$1:$A$76,0),5)</f>
        <v>483780.49839321</v>
      </c>
      <c r="T369" s="335">
        <f t="shared" si="27"/>
        <v>1.4685321561100742E-5</v>
      </c>
      <c r="U369" s="335">
        <f t="shared" si="28"/>
        <v>1.2498817025661379E-5</v>
      </c>
      <c r="V369" s="335">
        <f t="shared" si="29"/>
        <v>-2.186504535439363E-6</v>
      </c>
    </row>
    <row r="370" spans="1:22" x14ac:dyDescent="0.45">
      <c r="A370" s="293" t="s">
        <v>178</v>
      </c>
      <c r="B370" s="297" t="s">
        <v>5</v>
      </c>
      <c r="C370" s="293" t="str">
        <f t="shared" si="25"/>
        <v>SenegalManufacture of electrical equipment (C27)</v>
      </c>
      <c r="D370" s="297" t="s">
        <v>958</v>
      </c>
      <c r="E370" s="298">
        <v>2.66509902</v>
      </c>
      <c r="F370" s="298">
        <v>2.3344393600000002</v>
      </c>
      <c r="G370" s="302">
        <v>-0.12407030940261266</v>
      </c>
      <c r="H370" s="303">
        <v>10998.26574418</v>
      </c>
      <c r="I370" s="298">
        <v>2.4515695900000001</v>
      </c>
      <c r="J370" s="298">
        <v>2.3344393600000002</v>
      </c>
      <c r="K370" s="302">
        <v>-4.7777648441135967E-2</v>
      </c>
      <c r="L370" s="298">
        <v>3.6440012899999998</v>
      </c>
      <c r="M370" s="298">
        <v>5.1156892200000001</v>
      </c>
      <c r="N370" s="298">
        <v>6.4668098299999999</v>
      </c>
      <c r="O370" s="306">
        <v>10.70276076</v>
      </c>
      <c r="P370" s="306" cm="1">
        <f t="array" ref="P370">INDEX($E$302:$E$676, MATCH($B370, $B$302:$B$676, 0) * MATCH("Brazil", $A$302:$A$676, 0))</f>
        <v>11000.9308432</v>
      </c>
      <c r="Q370" s="306">
        <f t="shared" si="26"/>
        <v>10998.26574418</v>
      </c>
      <c r="R370" s="336">
        <f>INDEX('Base GDP'!$A$1:$E$76,MATCH(A370,'Base GDP'!$A$1:$A$76,0),4)</f>
        <v>18437.455260710001</v>
      </c>
      <c r="S370" s="336">
        <f>INDEX('Base GDP'!$A$1:$E$76,MATCH(A370,'Base GDP'!$A$1:$A$76,0),5)</f>
        <v>25150.80803964</v>
      </c>
      <c r="T370" s="335">
        <f t="shared" si="27"/>
        <v>1.3296680888627108E-4</v>
      </c>
      <c r="U370" s="335">
        <f t="shared" si="28"/>
        <v>9.2817668375533212E-5</v>
      </c>
      <c r="V370" s="335">
        <f t="shared" si="29"/>
        <v>-4.0149140510737863E-5</v>
      </c>
    </row>
    <row r="371" spans="1:22" x14ac:dyDescent="0.45">
      <c r="A371" s="293" t="s">
        <v>104</v>
      </c>
      <c r="B371" s="297" t="s">
        <v>5</v>
      </c>
      <c r="C371" s="293" t="str">
        <f t="shared" si="25"/>
        <v>South KoreaManufacture of electrical equipment (C27)</v>
      </c>
      <c r="D371" s="297" t="s">
        <v>958</v>
      </c>
      <c r="E371" s="298">
        <v>24044.493140639999</v>
      </c>
      <c r="F371" s="298">
        <v>31604.138439639999</v>
      </c>
      <c r="G371" s="302">
        <v>0.31440235628101831</v>
      </c>
      <c r="H371" s="303">
        <v>13043.562297439999</v>
      </c>
      <c r="I371" s="298">
        <v>26066.193801099998</v>
      </c>
      <c r="J371" s="298">
        <v>31604.138439639999</v>
      </c>
      <c r="K371" s="302">
        <v>0.21245697322738</v>
      </c>
      <c r="L371" s="298">
        <v>33474.313615300001</v>
      </c>
      <c r="M371" s="298">
        <v>36943.89361608</v>
      </c>
      <c r="N371" s="298">
        <v>39672.972178620003</v>
      </c>
      <c r="O371" s="306">
        <v>46548.684177900002</v>
      </c>
      <c r="P371" s="306" cm="1">
        <f t="array" ref="P371">INDEX($E$302:$E$676, MATCH($B371, $B$302:$B$676, 0) * MATCH("Brazil", $A$302:$A$676, 0))</f>
        <v>11000.9308432</v>
      </c>
      <c r="Q371" s="306">
        <f t="shared" si="26"/>
        <v>-13043.562297439999</v>
      </c>
      <c r="R371" s="336">
        <f>INDEX('Base GDP'!$A$1:$E$76,MATCH(A371,'Base GDP'!$A$1:$A$76,0),4)</f>
        <v>1478297.0807395</v>
      </c>
      <c r="S371" s="336">
        <f>INDEX('Base GDP'!$A$1:$E$76,MATCH(A371,'Base GDP'!$A$1:$A$76,0),5)</f>
        <v>1710728.7967964001</v>
      </c>
      <c r="T371" s="335">
        <f t="shared" si="27"/>
        <v>1.7632581529593974E-2</v>
      </c>
      <c r="U371" s="335">
        <f t="shared" si="28"/>
        <v>1.8474078707755172E-2</v>
      </c>
      <c r="V371" s="335">
        <f t="shared" si="29"/>
        <v>8.4149717816119768E-4</v>
      </c>
    </row>
    <row r="372" spans="1:22" x14ac:dyDescent="0.45">
      <c r="A372" s="293" t="s">
        <v>98</v>
      </c>
      <c r="B372" s="297" t="s">
        <v>5</v>
      </c>
      <c r="C372" s="293" t="str">
        <f t="shared" si="25"/>
        <v>GermanyManufacture of electrical equipment (C27)</v>
      </c>
      <c r="D372" s="297" t="s">
        <v>958</v>
      </c>
      <c r="E372" s="298">
        <v>48338.529331999998</v>
      </c>
      <c r="F372" s="298">
        <v>49533.657250019998</v>
      </c>
      <c r="G372" s="302">
        <v>2.4724126582577499E-2</v>
      </c>
      <c r="H372" s="303">
        <v>37337.598488799995</v>
      </c>
      <c r="I372" s="298">
        <v>46921.993555239998</v>
      </c>
      <c r="J372" s="298">
        <v>49533.657250019998</v>
      </c>
      <c r="K372" s="302">
        <v>5.5659691690323365E-2</v>
      </c>
      <c r="L372" s="298">
        <v>55203.72437181</v>
      </c>
      <c r="M372" s="298">
        <v>58372.738898410003</v>
      </c>
      <c r="N372" s="298">
        <v>60314.144153109999</v>
      </c>
      <c r="O372" s="306">
        <v>63629.840640549999</v>
      </c>
      <c r="P372" s="306" cm="1">
        <f t="array" ref="P372">INDEX($E$302:$E$676, MATCH($B372, $B$302:$B$676, 0) * MATCH("Brazil", $A$302:$A$676, 0))</f>
        <v>11000.9308432</v>
      </c>
      <c r="Q372" s="306">
        <f t="shared" si="26"/>
        <v>-37337.598488799995</v>
      </c>
      <c r="R372" s="336">
        <f>INDEX('Base GDP'!$A$1:$E$76,MATCH(A372,'Base GDP'!$A$1:$A$76,0),4)</f>
        <v>3626843.1759532001</v>
      </c>
      <c r="S372" s="336">
        <f>INDEX('Base GDP'!$A$1:$E$76,MATCH(A372,'Base GDP'!$A$1:$A$76,0),5)</f>
        <v>3849084.4984781002</v>
      </c>
      <c r="T372" s="335">
        <f t="shared" si="27"/>
        <v>1.2937420031377024E-2</v>
      </c>
      <c r="U372" s="335">
        <f t="shared" si="28"/>
        <v>1.286894513996906E-2</v>
      </c>
      <c r="V372" s="335">
        <f t="shared" si="29"/>
        <v>-6.8474891407963728E-5</v>
      </c>
    </row>
    <row r="373" spans="1:22" x14ac:dyDescent="0.45">
      <c r="A373" s="293" t="s">
        <v>100</v>
      </c>
      <c r="B373" s="297" t="s">
        <v>5</v>
      </c>
      <c r="C373" s="293" t="str">
        <f t="shared" si="25"/>
        <v>JapanManufacture of electrical equipment (C27)</v>
      </c>
      <c r="D373" s="297" t="s">
        <v>958</v>
      </c>
      <c r="E373" s="298">
        <v>48763.679053389998</v>
      </c>
      <c r="F373" s="298">
        <v>65010.760856410001</v>
      </c>
      <c r="G373" s="302">
        <v>0.33317998392269632</v>
      </c>
      <c r="H373" s="303">
        <v>37762.748210189995</v>
      </c>
      <c r="I373" s="298">
        <v>61194.972818609996</v>
      </c>
      <c r="J373" s="298">
        <v>65010.760856410001</v>
      </c>
      <c r="K373" s="302">
        <v>6.2354599766070828E-2</v>
      </c>
      <c r="L373" s="298">
        <v>66545.314207529998</v>
      </c>
      <c r="M373" s="298">
        <v>68981.299789700002</v>
      </c>
      <c r="N373" s="298">
        <v>70936.920816839993</v>
      </c>
      <c r="O373" s="306">
        <v>75203.84685632</v>
      </c>
      <c r="P373" s="306" cm="1">
        <f t="array" ref="P373">INDEX($E$302:$E$676, MATCH($B373, $B$302:$B$676, 0) * MATCH("Brazil", $A$302:$A$676, 0))</f>
        <v>11000.9308432</v>
      </c>
      <c r="Q373" s="306">
        <f t="shared" si="26"/>
        <v>-37762.748210189995</v>
      </c>
      <c r="R373" s="336">
        <f>INDEX('Base GDP'!$A$1:$E$76,MATCH(A373,'Base GDP'!$A$1:$A$76,0),4)</f>
        <v>4983596.864085</v>
      </c>
      <c r="S373" s="336">
        <f>INDEX('Base GDP'!$A$1:$E$76,MATCH(A373,'Base GDP'!$A$1:$A$76,0),5)</f>
        <v>5032370.4042106001</v>
      </c>
      <c r="T373" s="335">
        <f t="shared" si="27"/>
        <v>1.2279278297893692E-2</v>
      </c>
      <c r="U373" s="335">
        <f t="shared" si="28"/>
        <v>1.2918516650128792E-2</v>
      </c>
      <c r="V373" s="335">
        <f t="shared" si="29"/>
        <v>6.3923835223510077E-4</v>
      </c>
    </row>
    <row r="374" spans="1:22" x14ac:dyDescent="0.45">
      <c r="A374" s="293" t="s">
        <v>141</v>
      </c>
      <c r="B374" s="297" t="s">
        <v>5</v>
      </c>
      <c r="C374" s="293" t="str">
        <f t="shared" si="25"/>
        <v>United StatesManufacture of electrical equipment (C27)</v>
      </c>
      <c r="D374" s="297" t="s">
        <v>958</v>
      </c>
      <c r="E374" s="298">
        <v>55412.539439499997</v>
      </c>
      <c r="F374" s="298">
        <v>57381.736942030002</v>
      </c>
      <c r="G374" s="302">
        <v>3.5537037689456374E-2</v>
      </c>
      <c r="H374" s="303">
        <v>44411.608596299993</v>
      </c>
      <c r="I374" s="298">
        <v>64491.481314509998</v>
      </c>
      <c r="J374" s="298">
        <v>57381.736942030002</v>
      </c>
      <c r="K374" s="302">
        <v>-0.11024315502705573</v>
      </c>
      <c r="L374" s="298">
        <v>57123.328131080001</v>
      </c>
      <c r="M374" s="298">
        <v>61168.823374530002</v>
      </c>
      <c r="N374" s="298">
        <v>63910.370208560002</v>
      </c>
      <c r="O374" s="306">
        <v>71055.646778609997</v>
      </c>
      <c r="P374" s="306" cm="1">
        <f t="array" ref="P374">INDEX($E$302:$E$676, MATCH($B374, $B$302:$B$676, 0) * MATCH("Brazil", $A$302:$A$676, 0))</f>
        <v>11000.9308432</v>
      </c>
      <c r="Q374" s="306">
        <f t="shared" si="26"/>
        <v>-44411.608596299993</v>
      </c>
      <c r="R374" s="336">
        <f>INDEX('Base GDP'!$A$1:$E$76,MATCH(A374,'Base GDP'!$A$1:$A$76,0),4)</f>
        <v>19553083.060252</v>
      </c>
      <c r="S374" s="336">
        <f>INDEX('Base GDP'!$A$1:$E$76,MATCH(A374,'Base GDP'!$A$1:$A$76,0),5)</f>
        <v>22265681.170655001</v>
      </c>
      <c r="T374" s="335">
        <f t="shared" si="27"/>
        <v>3.2982768556642562E-3</v>
      </c>
      <c r="U374" s="335">
        <f t="shared" si="28"/>
        <v>2.5771381752136163E-3</v>
      </c>
      <c r="V374" s="335">
        <f t="shared" si="29"/>
        <v>-7.2113868045063992E-4</v>
      </c>
    </row>
    <row r="375" spans="1:22" x14ac:dyDescent="0.45">
      <c r="A375" s="293" t="s">
        <v>907</v>
      </c>
      <c r="B375" s="297" t="s">
        <v>5</v>
      </c>
      <c r="C375" s="293" t="str">
        <f t="shared" si="25"/>
        <v>ChinaManufacture of electrical equipment (C27)</v>
      </c>
      <c r="D375" s="297" t="s">
        <v>958</v>
      </c>
      <c r="E375" s="298">
        <v>137311.92838910999</v>
      </c>
      <c r="F375" s="298">
        <v>375967.60295452003</v>
      </c>
      <c r="G375" s="302">
        <v>1.7380549335023212</v>
      </c>
      <c r="H375" s="303">
        <v>126310.99754591</v>
      </c>
      <c r="I375" s="298">
        <v>206856.22806317999</v>
      </c>
      <c r="J375" s="298">
        <v>375967.60295452003</v>
      </c>
      <c r="K375" s="302">
        <v>0.81753098021147541</v>
      </c>
      <c r="L375" s="298">
        <v>558855.35929923004</v>
      </c>
      <c r="M375" s="298">
        <v>701345.47855362995</v>
      </c>
      <c r="N375" s="298">
        <v>816631.89176804002</v>
      </c>
      <c r="O375" s="306">
        <v>1112168.3174705</v>
      </c>
      <c r="P375" s="306" cm="1">
        <f t="array" ref="P375">INDEX($E$302:$E$676, MATCH($B375, $B$302:$B$676, 0) * MATCH("Brazil", $A$302:$A$676, 0))</f>
        <v>11000.9308432</v>
      </c>
      <c r="Q375" s="306">
        <f t="shared" si="26"/>
        <v>-126310.99754591</v>
      </c>
      <c r="R375" s="336">
        <f>INDEX('Base GDP'!$A$1:$E$76,MATCH(A375,'Base GDP'!$A$1:$A$76,0),4)</f>
        <v>11048064.947659001</v>
      </c>
      <c r="S375" s="336">
        <f>INDEX('Base GDP'!$A$1:$E$76,MATCH(A375,'Base GDP'!$A$1:$A$76,0),5)</f>
        <v>15827750.501527</v>
      </c>
      <c r="T375" s="335">
        <f t="shared" si="27"/>
        <v>1.8723299423308623E-2</v>
      </c>
      <c r="U375" s="335">
        <f t="shared" si="28"/>
        <v>2.3753697843433161E-2</v>
      </c>
      <c r="V375" s="335">
        <f t="shared" si="29"/>
        <v>5.0303984201245378E-3</v>
      </c>
    </row>
    <row r="376" spans="1:22" x14ac:dyDescent="0.45">
      <c r="A376" s="293" t="s">
        <v>179</v>
      </c>
      <c r="B376" s="297" t="s">
        <v>5</v>
      </c>
      <c r="C376" s="293" t="str">
        <f t="shared" si="25"/>
        <v>WorldManufacture of electrical equipment (C27)</v>
      </c>
      <c r="D376" s="297" t="s">
        <v>958</v>
      </c>
      <c r="E376" s="298">
        <v>453575.61284344998</v>
      </c>
      <c r="F376" s="298">
        <v>739587.33472974005</v>
      </c>
      <c r="G376" s="302">
        <v>0.63057120750670959</v>
      </c>
      <c r="H376" s="303">
        <v>442574.68200024997</v>
      </c>
      <c r="I376" s="298">
        <v>550223.83760542003</v>
      </c>
      <c r="J376" s="298">
        <v>739587.33472974005</v>
      </c>
      <c r="K376" s="302">
        <v>0.34415720327282062</v>
      </c>
      <c r="L376" s="298">
        <v>951865.94585999998</v>
      </c>
      <c r="M376" s="298">
        <v>1130386.8400522999</v>
      </c>
      <c r="N376" s="298">
        <v>1273634.5046331</v>
      </c>
      <c r="O376" s="306">
        <v>1639223.5125329001</v>
      </c>
      <c r="P376" s="306" cm="1">
        <f t="array" ref="P376">INDEX($E$302:$E$676, MATCH($B376, $B$302:$B$676, 0) * MATCH("Brazil", $A$302:$A$676, 0))</f>
        <v>11000.9308432</v>
      </c>
      <c r="Q376" s="306">
        <f t="shared" si="26"/>
        <v>-442574.68200024997</v>
      </c>
      <c r="R376" s="336">
        <f>INDEX('Base GDP'!$A$1:$E$76,MATCH(A376,'Base GDP'!$A$1:$A$76,0),4)</f>
        <v>74892116.540485993</v>
      </c>
      <c r="S376" s="336">
        <f>INDEX('Base GDP'!$A$1:$E$76,MATCH(A376,'Base GDP'!$A$1:$A$76,0),5)</f>
        <v>87029234.955234006</v>
      </c>
      <c r="T376" s="335">
        <f t="shared" si="27"/>
        <v>7.3468859343556415E-3</v>
      </c>
      <c r="U376" s="335">
        <f t="shared" si="28"/>
        <v>8.4981481810125995E-3</v>
      </c>
      <c r="V376" s="335">
        <f t="shared" si="29"/>
        <v>1.151262246656958E-3</v>
      </c>
    </row>
    <row r="377" spans="1:22" x14ac:dyDescent="0.45">
      <c r="A377" s="293" t="s">
        <v>907</v>
      </c>
      <c r="B377" s="297" t="s">
        <v>0</v>
      </c>
      <c r="C377" s="293" t="str">
        <f t="shared" si="25"/>
        <v>ChinaManufacture of food products (C10)</v>
      </c>
      <c r="D377" s="297" t="s">
        <v>958</v>
      </c>
      <c r="E377" s="298">
        <v>184399.03464741001</v>
      </c>
      <c r="F377" s="298">
        <v>377220.34075074003</v>
      </c>
      <c r="G377" s="302">
        <v>1.0456741624055912</v>
      </c>
      <c r="H377" s="303">
        <v>124016.36682088001</v>
      </c>
      <c r="I377" s="298">
        <v>279731.24911701999</v>
      </c>
      <c r="J377" s="298">
        <v>377220.34075074003</v>
      </c>
      <c r="K377" s="302">
        <v>0.34850983557056003</v>
      </c>
      <c r="L377" s="298">
        <v>421195.36383246002</v>
      </c>
      <c r="M377" s="298">
        <v>466600.99604187999</v>
      </c>
      <c r="N377" s="298">
        <v>498884.48639661999</v>
      </c>
      <c r="O377" s="306">
        <v>551600.25732193002</v>
      </c>
      <c r="P377" s="306" cm="1">
        <f t="array" ref="P377">INDEX($E$302:$E$676, MATCH($B377, $B$302:$B$676, 0) * MATCH("Brazil", $A$302:$A$676, 0))</f>
        <v>184399.03464741001</v>
      </c>
      <c r="Q377" s="306">
        <f t="shared" si="26"/>
        <v>0</v>
      </c>
      <c r="R377" s="336">
        <f>INDEX('Base GDP'!$A$1:$E$76,MATCH(A377,'Base GDP'!$A$1:$A$76,0),4)</f>
        <v>11048064.947659001</v>
      </c>
      <c r="S377" s="336">
        <f>INDEX('Base GDP'!$A$1:$E$76,MATCH(A377,'Base GDP'!$A$1:$A$76,0),5)</f>
        <v>15827750.501527</v>
      </c>
      <c r="T377" s="335">
        <f t="shared" si="27"/>
        <v>2.5319479061923226E-2</v>
      </c>
      <c r="U377" s="335">
        <f t="shared" si="28"/>
        <v>2.3832846032943673E-2</v>
      </c>
      <c r="V377" s="335">
        <f t="shared" si="29"/>
        <v>-1.4866330289795525E-3</v>
      </c>
    </row>
    <row r="378" spans="1:22" x14ac:dyDescent="0.45">
      <c r="A378" s="293" t="s">
        <v>141</v>
      </c>
      <c r="B378" s="297" t="s">
        <v>0</v>
      </c>
      <c r="C378" s="293" t="str">
        <f t="shared" si="25"/>
        <v>United StatesManufacture of food products (C10)</v>
      </c>
      <c r="D378" s="297" t="s">
        <v>958</v>
      </c>
      <c r="E378" s="298">
        <v>175946.06590493</v>
      </c>
      <c r="F378" s="298">
        <v>203806.92660328001</v>
      </c>
      <c r="G378" s="302">
        <v>0.15834886989405161</v>
      </c>
      <c r="H378" s="303">
        <v>115563.3980784</v>
      </c>
      <c r="I378" s="298">
        <v>178390.12277294</v>
      </c>
      <c r="J378" s="298">
        <v>203806.92660328001</v>
      </c>
      <c r="K378" s="302">
        <v>0.14247876191380415</v>
      </c>
      <c r="L378" s="298">
        <v>220087.24293278999</v>
      </c>
      <c r="M378" s="298">
        <v>227738.71327593</v>
      </c>
      <c r="N378" s="298">
        <v>236309.6418666</v>
      </c>
      <c r="O378" s="306">
        <v>259487.35351129001</v>
      </c>
      <c r="P378" s="306" cm="1">
        <f t="array" ref="P378">INDEX($E$302:$E$676, MATCH($B378, $B$302:$B$676, 0) * MATCH("Brazil", $A$302:$A$676, 0))</f>
        <v>184399.03464741001</v>
      </c>
      <c r="Q378" s="306">
        <f t="shared" si="26"/>
        <v>8452.9687424800068</v>
      </c>
      <c r="R378" s="336">
        <f>INDEX('Base GDP'!$A$1:$E$76,MATCH(A378,'Base GDP'!$A$1:$A$76,0),4)</f>
        <v>19553083.060252</v>
      </c>
      <c r="S378" s="336">
        <f>INDEX('Base GDP'!$A$1:$E$76,MATCH(A378,'Base GDP'!$A$1:$A$76,0),5)</f>
        <v>22265681.170655001</v>
      </c>
      <c r="T378" s="335">
        <f t="shared" si="27"/>
        <v>9.1233756959574284E-3</v>
      </c>
      <c r="U378" s="335">
        <f t="shared" si="28"/>
        <v>9.1534108047808954E-3</v>
      </c>
      <c r="V378" s="335">
        <f t="shared" si="29"/>
        <v>3.0035108823467035E-5</v>
      </c>
    </row>
    <row r="379" spans="1:22" x14ac:dyDescent="0.45">
      <c r="A379" s="293" t="s">
        <v>100</v>
      </c>
      <c r="B379" s="297" t="s">
        <v>0</v>
      </c>
      <c r="C379" s="293" t="str">
        <f t="shared" si="25"/>
        <v>JapanManufacture of food products (C10)</v>
      </c>
      <c r="D379" s="297" t="s">
        <v>958</v>
      </c>
      <c r="E379" s="298">
        <v>73260.781624020005</v>
      </c>
      <c r="F379" s="298">
        <v>79760.641151029995</v>
      </c>
      <c r="G379" s="302">
        <v>8.8722224673601913E-2</v>
      </c>
      <c r="H379" s="303">
        <v>12878.113797490005</v>
      </c>
      <c r="I379" s="298">
        <v>78804.872216920005</v>
      </c>
      <c r="J379" s="298">
        <v>79760.641151029995</v>
      </c>
      <c r="K379" s="302">
        <v>1.2128297492560058E-2</v>
      </c>
      <c r="L379" s="298">
        <v>81158.530593989999</v>
      </c>
      <c r="M379" s="298">
        <v>84498.2301401</v>
      </c>
      <c r="N379" s="298">
        <v>86971.968353839999</v>
      </c>
      <c r="O379" s="306">
        <v>93777.110501489995</v>
      </c>
      <c r="P379" s="306" cm="1">
        <f t="array" ref="P379">INDEX($E$302:$E$676, MATCH($B379, $B$302:$B$676, 0) * MATCH("Brazil", $A$302:$A$676, 0))</f>
        <v>184399.03464741001</v>
      </c>
      <c r="Q379" s="306">
        <f t="shared" si="26"/>
        <v>111138.25302339</v>
      </c>
      <c r="R379" s="336">
        <f>INDEX('Base GDP'!$A$1:$E$76,MATCH(A379,'Base GDP'!$A$1:$A$76,0),4)</f>
        <v>4983596.864085</v>
      </c>
      <c r="S379" s="336">
        <f>INDEX('Base GDP'!$A$1:$E$76,MATCH(A379,'Base GDP'!$A$1:$A$76,0),5)</f>
        <v>5032370.4042106001</v>
      </c>
      <c r="T379" s="335">
        <f t="shared" si="27"/>
        <v>1.5812850510609822E-2</v>
      </c>
      <c r="U379" s="335">
        <f t="shared" si="28"/>
        <v>1.5849517174708366E-2</v>
      </c>
      <c r="V379" s="335">
        <f t="shared" si="29"/>
        <v>3.6666664098544688E-5</v>
      </c>
    </row>
    <row r="380" spans="1:22" x14ac:dyDescent="0.45">
      <c r="A380" s="294" t="s">
        <v>18</v>
      </c>
      <c r="B380" s="299" t="s">
        <v>0</v>
      </c>
      <c r="C380" s="293" t="str">
        <f t="shared" si="25"/>
        <v>BrazilManufacture of food products (C10)</v>
      </c>
      <c r="D380" s="297" t="s">
        <v>958</v>
      </c>
      <c r="E380" s="300">
        <v>60382.66782653</v>
      </c>
      <c r="F380" s="300">
        <v>51895.62553456</v>
      </c>
      <c r="G380" s="304">
        <v>-0.14055427819704736</v>
      </c>
      <c r="H380" s="305">
        <v>0</v>
      </c>
      <c r="I380" s="300">
        <v>53584.046462389997</v>
      </c>
      <c r="J380" s="300">
        <v>51895.62553456</v>
      </c>
      <c r="K380" s="304">
        <v>-3.1509769032002422E-2</v>
      </c>
      <c r="L380" s="300">
        <v>58113.795542120002</v>
      </c>
      <c r="M380" s="300">
        <v>63786.176358429999</v>
      </c>
      <c r="N380" s="300">
        <v>68339.408654479994</v>
      </c>
      <c r="O380" s="307">
        <v>79490.261690259998</v>
      </c>
      <c r="P380" s="306" cm="1">
        <f t="array" ref="P380">INDEX($E$302:$E$676, MATCH($B380, $B$302:$B$676, 0) * MATCH("Brazil", $A$302:$A$676, 0))</f>
        <v>184399.03464741001</v>
      </c>
      <c r="Q380" s="306">
        <f t="shared" si="26"/>
        <v>124016.36682088001</v>
      </c>
      <c r="R380" s="336">
        <f>INDEX('Base GDP'!$A$1:$E$76,MATCH(A380,'Base GDP'!$A$1:$A$76,0),4)</f>
        <v>1855726.8356911</v>
      </c>
      <c r="S380" s="336">
        <f>INDEX('Base GDP'!$A$1:$E$76,MATCH(A380,'Base GDP'!$A$1:$A$76,0),5)</f>
        <v>1898091.4722179</v>
      </c>
      <c r="T380" s="335">
        <f t="shared" si="27"/>
        <v>2.887496447850554E-2</v>
      </c>
      <c r="U380" s="335">
        <f t="shared" si="28"/>
        <v>2.7340950788804982E-2</v>
      </c>
      <c r="V380" s="335">
        <f t="shared" si="29"/>
        <v>-1.5340136897005578E-3</v>
      </c>
    </row>
    <row r="381" spans="1:22" x14ac:dyDescent="0.45">
      <c r="A381" s="293" t="s">
        <v>75</v>
      </c>
      <c r="B381" s="297" t="s">
        <v>0</v>
      </c>
      <c r="C381" s="293" t="str">
        <f t="shared" si="25"/>
        <v>MexicoManufacture of food products (C10)</v>
      </c>
      <c r="D381" s="297" t="s">
        <v>958</v>
      </c>
      <c r="E381" s="298">
        <v>36185.021555129999</v>
      </c>
      <c r="F381" s="298">
        <v>45837.06156414</v>
      </c>
      <c r="G381" s="302">
        <v>0.266741308812116</v>
      </c>
      <c r="H381" s="303">
        <v>24197.646271400001</v>
      </c>
      <c r="I381" s="298">
        <v>39588.217762339998</v>
      </c>
      <c r="J381" s="298">
        <v>45837.06156414</v>
      </c>
      <c r="K381" s="302">
        <v>0.15784605003725338</v>
      </c>
      <c r="L381" s="298">
        <v>50146.776578160003</v>
      </c>
      <c r="M381" s="298">
        <v>55587.72490352</v>
      </c>
      <c r="N381" s="298">
        <v>59972.893103679999</v>
      </c>
      <c r="O381" s="306">
        <v>70559.739638469997</v>
      </c>
      <c r="P381" s="306" cm="1">
        <f t="array" ref="P381">INDEX($E$302:$E$676, MATCH($B381, $B$302:$B$676, 0) * MATCH("Brazil", $A$302:$A$676, 0))</f>
        <v>184399.03464741001</v>
      </c>
      <c r="Q381" s="306">
        <f t="shared" si="26"/>
        <v>148214.01309228002</v>
      </c>
      <c r="R381" s="336">
        <f>INDEX('Base GDP'!$A$1:$E$76,MATCH(A381,'Base GDP'!$A$1:$A$76,0),4)</f>
        <v>1239119.2771185001</v>
      </c>
      <c r="S381" s="336">
        <f>INDEX('Base GDP'!$A$1:$E$76,MATCH(A381,'Base GDP'!$A$1:$A$76,0),5)</f>
        <v>1262038.2891611001</v>
      </c>
      <c r="T381" s="335">
        <f t="shared" si="27"/>
        <v>3.1948673943964535E-2</v>
      </c>
      <c r="U381" s="335">
        <f t="shared" si="28"/>
        <v>3.6319866011837669E-2</v>
      </c>
      <c r="V381" s="335">
        <f t="shared" si="29"/>
        <v>4.3711920678731336E-3</v>
      </c>
    </row>
    <row r="382" spans="1:22" x14ac:dyDescent="0.45">
      <c r="A382" s="293" t="s">
        <v>99</v>
      </c>
      <c r="B382" s="297" t="s">
        <v>0</v>
      </c>
      <c r="C382" s="293" t="str">
        <f t="shared" si="25"/>
        <v>IndonesiaManufacture of food products (C10)</v>
      </c>
      <c r="D382" s="297" t="s">
        <v>958</v>
      </c>
      <c r="E382" s="298">
        <v>20575.684013139999</v>
      </c>
      <c r="F382" s="298">
        <v>44543.688860200004</v>
      </c>
      <c r="G382" s="302">
        <v>1.1648703796069966</v>
      </c>
      <c r="H382" s="303">
        <v>39806.983813390005</v>
      </c>
      <c r="I382" s="298">
        <v>32607.318518259999</v>
      </c>
      <c r="J382" s="298">
        <v>44543.688860200004</v>
      </c>
      <c r="K382" s="302">
        <v>0.3660641501464057</v>
      </c>
      <c r="L382" s="298">
        <v>54827.137939020002</v>
      </c>
      <c r="M382" s="298">
        <v>66309.267524209994</v>
      </c>
      <c r="N382" s="298">
        <v>76825.075601909994</v>
      </c>
      <c r="O382" s="306">
        <v>108681.39069646</v>
      </c>
      <c r="P382" s="306" cm="1">
        <f t="array" ref="P382">INDEX($E$302:$E$676, MATCH($B382, $B$302:$B$676, 0) * MATCH("Brazil", $A$302:$A$676, 0))</f>
        <v>184399.03464741001</v>
      </c>
      <c r="Q382" s="306">
        <f t="shared" si="26"/>
        <v>163823.35063427</v>
      </c>
      <c r="R382" s="336">
        <f>INDEX('Base GDP'!$A$1:$E$76,MATCH(A382,'Base GDP'!$A$1:$A$76,0),4)</f>
        <v>917924.88667253999</v>
      </c>
      <c r="S382" s="336">
        <f>INDEX('Base GDP'!$A$1:$E$76,MATCH(A382,'Base GDP'!$A$1:$A$76,0),5)</f>
        <v>1136354.4627425</v>
      </c>
      <c r="T382" s="335">
        <f t="shared" si="27"/>
        <v>3.552286139278879E-2</v>
      </c>
      <c r="U382" s="335">
        <f t="shared" si="28"/>
        <v>3.9198762640221783E-2</v>
      </c>
      <c r="V382" s="335">
        <f t="shared" si="29"/>
        <v>3.675901247432993E-3</v>
      </c>
    </row>
    <row r="383" spans="1:22" x14ac:dyDescent="0.45">
      <c r="A383" s="293" t="s">
        <v>97</v>
      </c>
      <c r="B383" s="297" t="s">
        <v>0</v>
      </c>
      <c r="C383" s="293" t="str">
        <f t="shared" si="25"/>
        <v>FranceManufacture of food products (C10)</v>
      </c>
      <c r="D383" s="297" t="s">
        <v>958</v>
      </c>
      <c r="E383" s="298">
        <v>37710.639685299997</v>
      </c>
      <c r="F383" s="298">
        <v>42812.240424230004</v>
      </c>
      <c r="G383" s="302">
        <v>0.13528279502823337</v>
      </c>
      <c r="H383" s="303">
        <v>22672.028141230003</v>
      </c>
      <c r="I383" s="298">
        <v>41805.287833659997</v>
      </c>
      <c r="J383" s="298">
        <v>42812.240424230004</v>
      </c>
      <c r="K383" s="302">
        <v>2.4086727845926914E-2</v>
      </c>
      <c r="L383" s="298">
        <v>43231.480925830001</v>
      </c>
      <c r="M383" s="298">
        <v>44904.834749430003</v>
      </c>
      <c r="N383" s="298">
        <v>46713.407128259998</v>
      </c>
      <c r="O383" s="306">
        <v>52305.193650180001</v>
      </c>
      <c r="P383" s="306" cm="1">
        <f t="array" ref="P383">INDEX($E$302:$E$676, MATCH($B383, $B$302:$B$676, 0) * MATCH("Brazil", $A$302:$A$676, 0))</f>
        <v>184399.03464741001</v>
      </c>
      <c r="Q383" s="306">
        <f t="shared" si="26"/>
        <v>146688.39496211</v>
      </c>
      <c r="R383" s="336">
        <f>INDEX('Base GDP'!$A$1:$E$76,MATCH(A383,'Base GDP'!$A$1:$A$76,0),4)</f>
        <v>2544956.5086996001</v>
      </c>
      <c r="S383" s="336">
        <f>INDEX('Base GDP'!$A$1:$E$76,MATCH(A383,'Base GDP'!$A$1:$A$76,0),5)</f>
        <v>2682424.2983101001</v>
      </c>
      <c r="T383" s="335">
        <f t="shared" si="27"/>
        <v>1.6426719942267815E-2</v>
      </c>
      <c r="U383" s="335">
        <f t="shared" si="28"/>
        <v>1.5960279084558427E-2</v>
      </c>
      <c r="V383" s="335">
        <f t="shared" si="29"/>
        <v>-4.6644085770938815E-4</v>
      </c>
    </row>
    <row r="384" spans="1:22" x14ac:dyDescent="0.45">
      <c r="A384" s="293" t="s">
        <v>98</v>
      </c>
      <c r="B384" s="297" t="s">
        <v>0</v>
      </c>
      <c r="C384" s="293" t="str">
        <f t="shared" si="25"/>
        <v>GermanyManufacture of food products (C10)</v>
      </c>
      <c r="D384" s="297" t="s">
        <v>958</v>
      </c>
      <c r="E384" s="298">
        <v>39304.695855960003</v>
      </c>
      <c r="F384" s="298">
        <v>40356.684352149998</v>
      </c>
      <c r="G384" s="302">
        <v>2.6764957043433624E-2</v>
      </c>
      <c r="H384" s="303">
        <v>21077.971970569997</v>
      </c>
      <c r="I384" s="298">
        <v>39335.667721780002</v>
      </c>
      <c r="J384" s="298">
        <v>40356.684352149998</v>
      </c>
      <c r="K384" s="302">
        <v>2.5956509435447028E-2</v>
      </c>
      <c r="L384" s="298">
        <v>41347.5282085</v>
      </c>
      <c r="M384" s="298">
        <v>42381.932599</v>
      </c>
      <c r="N384" s="298">
        <v>43319.253523910003</v>
      </c>
      <c r="O384" s="306">
        <v>45486.957061419998</v>
      </c>
      <c r="P384" s="306" cm="1">
        <f t="array" ref="P384">INDEX($E$302:$E$676, MATCH($B384, $B$302:$B$676, 0) * MATCH("Brazil", $A$302:$A$676, 0))</f>
        <v>184399.03464741001</v>
      </c>
      <c r="Q384" s="306">
        <f t="shared" si="26"/>
        <v>145094.33879145002</v>
      </c>
      <c r="R384" s="336">
        <f>INDEX('Base GDP'!$A$1:$E$76,MATCH(A384,'Base GDP'!$A$1:$A$76,0),4)</f>
        <v>3626843.1759532001</v>
      </c>
      <c r="S384" s="336">
        <f>INDEX('Base GDP'!$A$1:$E$76,MATCH(A384,'Base GDP'!$A$1:$A$76,0),5)</f>
        <v>3849084.4984781002</v>
      </c>
      <c r="T384" s="335">
        <f t="shared" si="27"/>
        <v>1.0845704049897849E-2</v>
      </c>
      <c r="U384" s="335">
        <f t="shared" si="28"/>
        <v>1.048474887161005E-2</v>
      </c>
      <c r="V384" s="335">
        <f t="shared" si="29"/>
        <v>-3.6095517828779906E-4</v>
      </c>
    </row>
    <row r="385" spans="1:22" x14ac:dyDescent="0.45">
      <c r="A385" s="293" t="s">
        <v>76</v>
      </c>
      <c r="B385" s="297" t="s">
        <v>0</v>
      </c>
      <c r="C385" s="293" t="str">
        <f t="shared" si="25"/>
        <v>United KingdomManufacture of food products (C10)</v>
      </c>
      <c r="D385" s="297" t="s">
        <v>958</v>
      </c>
      <c r="E385" s="298">
        <v>24256.11741318</v>
      </c>
      <c r="F385" s="298">
        <v>34355.297813899997</v>
      </c>
      <c r="G385" s="302">
        <v>0.41635601562649205</v>
      </c>
      <c r="H385" s="303">
        <v>36126.55041335</v>
      </c>
      <c r="I385" s="298">
        <v>24482.857654669999</v>
      </c>
      <c r="J385" s="298">
        <v>34355.297813899997</v>
      </c>
      <c r="K385" s="302">
        <v>0.40323888242461248</v>
      </c>
      <c r="L385" s="298">
        <v>36474.546033289997</v>
      </c>
      <c r="M385" s="298">
        <v>38048.483775269997</v>
      </c>
      <c r="N385" s="298">
        <v>39115.852574299999</v>
      </c>
      <c r="O385" s="306">
        <v>42725.366628000003</v>
      </c>
      <c r="P385" s="306" cm="1">
        <f t="array" ref="P385">INDEX($E$302:$E$676, MATCH($B385, $B$302:$B$676, 0) * MATCH("Brazil", $A$302:$A$676, 0))</f>
        <v>184399.03464741001</v>
      </c>
      <c r="Q385" s="306">
        <f t="shared" si="26"/>
        <v>160142.91723423</v>
      </c>
      <c r="R385" s="336">
        <f>INDEX('Base GDP'!$A$1:$E$76,MATCH(A385,'Base GDP'!$A$1:$A$76,0),4)</f>
        <v>2643868.3114987002</v>
      </c>
      <c r="S385" s="336">
        <f>INDEX('Base GDP'!$A$1:$E$76,MATCH(A385,'Base GDP'!$A$1:$A$76,0),5)</f>
        <v>2777419.6130784</v>
      </c>
      <c r="T385" s="335">
        <f t="shared" si="27"/>
        <v>9.2602409689579706E-3</v>
      </c>
      <c r="U385" s="335">
        <f t="shared" si="28"/>
        <v>1.2369502127847985E-2</v>
      </c>
      <c r="V385" s="335">
        <f t="shared" si="29"/>
        <v>3.1092611588900143E-3</v>
      </c>
    </row>
    <row r="386" spans="1:22" x14ac:dyDescent="0.45">
      <c r="A386" s="293" t="s">
        <v>101</v>
      </c>
      <c r="B386" s="297" t="s">
        <v>0</v>
      </c>
      <c r="C386" s="293" t="str">
        <f t="shared" ref="C386:C449" si="30">A386&amp;B386</f>
        <v>ItalyManufacture of food products (C10)</v>
      </c>
      <c r="D386" s="297" t="s">
        <v>958</v>
      </c>
      <c r="E386" s="298">
        <v>25354.97616613</v>
      </c>
      <c r="F386" s="298">
        <v>28150.758531209998</v>
      </c>
      <c r="G386" s="302">
        <v>0.1102656278105556</v>
      </c>
      <c r="H386" s="303">
        <v>35027.6916604</v>
      </c>
      <c r="I386" s="298">
        <v>25962.245779109999</v>
      </c>
      <c r="J386" s="298">
        <v>28150.758531209998</v>
      </c>
      <c r="K386" s="302">
        <v>8.4295972340765024E-2</v>
      </c>
      <c r="L386" s="298">
        <v>28520.192923769999</v>
      </c>
      <c r="M386" s="298">
        <v>28755.964937420002</v>
      </c>
      <c r="N386" s="298">
        <v>28961.170656940001</v>
      </c>
      <c r="O386" s="306">
        <v>30030.45765334</v>
      </c>
      <c r="P386" s="306" cm="1">
        <f t="array" ref="P386">INDEX($E$302:$E$676, MATCH($B386, $B$302:$B$676, 0) * MATCH("Brazil", $A$302:$A$676, 0))</f>
        <v>184399.03464741001</v>
      </c>
      <c r="Q386" s="306">
        <f t="shared" si="26"/>
        <v>159044.05848127999</v>
      </c>
      <c r="R386" s="336">
        <f>INDEX('Base GDP'!$A$1:$E$76,MATCH(A386,'Base GDP'!$A$1:$A$76,0),4)</f>
        <v>1924364.2462229</v>
      </c>
      <c r="S386" s="336">
        <f>INDEX('Base GDP'!$A$1:$E$76,MATCH(A386,'Base GDP'!$A$1:$A$76,0),5)</f>
        <v>1980878.3634254001</v>
      </c>
      <c r="T386" s="335">
        <f t="shared" si="27"/>
        <v>1.3491336596004695E-2</v>
      </c>
      <c r="U386" s="335">
        <f t="shared" si="28"/>
        <v>1.4211250448781104E-2</v>
      </c>
      <c r="V386" s="335">
        <f t="shared" si="29"/>
        <v>7.1991385277640936E-4</v>
      </c>
    </row>
    <row r="387" spans="1:22" x14ac:dyDescent="0.45">
      <c r="A387" s="293" t="s">
        <v>77</v>
      </c>
      <c r="B387" s="297" t="s">
        <v>0</v>
      </c>
      <c r="C387" s="293" t="str">
        <f t="shared" si="30"/>
        <v>SpainManufacture of food products (C10)</v>
      </c>
      <c r="D387" s="297" t="s">
        <v>958</v>
      </c>
      <c r="E387" s="298">
        <v>28117.414663340001</v>
      </c>
      <c r="F387" s="298">
        <v>23736.6183934</v>
      </c>
      <c r="G387" s="302">
        <v>-0.15580366553585612</v>
      </c>
      <c r="H387" s="303">
        <v>32265.253163189998</v>
      </c>
      <c r="I387" s="298">
        <v>22576.864587020002</v>
      </c>
      <c r="J387" s="298">
        <v>23736.6183934</v>
      </c>
      <c r="K387" s="302">
        <v>5.1369126209259708E-2</v>
      </c>
      <c r="L387" s="298">
        <v>23695.305350049999</v>
      </c>
      <c r="M387" s="298">
        <v>25096.183350849999</v>
      </c>
      <c r="N387" s="298">
        <v>26018.741509570002</v>
      </c>
      <c r="O387" s="306">
        <v>28095.381458010001</v>
      </c>
      <c r="P387" s="306" cm="1">
        <f t="array" ref="P387">INDEX($E$302:$E$676, MATCH($B387, $B$302:$B$676, 0) * MATCH("Brazil", $A$302:$A$676, 0))</f>
        <v>184399.03464741001</v>
      </c>
      <c r="Q387" s="306">
        <f t="shared" ref="Q387:Q450" si="31">P387-E387</f>
        <v>156281.61998407001</v>
      </c>
      <c r="R387" s="336">
        <f>INDEX('Base GDP'!$A$1:$E$76,MATCH(A387,'Base GDP'!$A$1:$A$76,0),4)</f>
        <v>1259732.1048611</v>
      </c>
      <c r="S387" s="336">
        <f>INDEX('Base GDP'!$A$1:$E$76,MATCH(A387,'Base GDP'!$A$1:$A$76,0),5)</f>
        <v>1317888.2673469</v>
      </c>
      <c r="T387" s="335">
        <f t="shared" ref="T387:T450" si="32">I387/R387</f>
        <v>1.7921956977915841E-2</v>
      </c>
      <c r="U387" s="335">
        <f t="shared" ref="U387:U450" si="33">J387/S387</f>
        <v>1.801110077501885E-2</v>
      </c>
      <c r="V387" s="335">
        <f t="shared" ref="V387:V450" si="34">U387-T387</f>
        <v>8.914379710300846E-5</v>
      </c>
    </row>
    <row r="388" spans="1:22" x14ac:dyDescent="0.45">
      <c r="A388" s="293" t="s">
        <v>63</v>
      </c>
      <c r="B388" s="297" t="s">
        <v>0</v>
      </c>
      <c r="C388" s="293" t="str">
        <f t="shared" si="30"/>
        <v>CanadaManufacture of food products (C10)</v>
      </c>
      <c r="D388" s="297" t="s">
        <v>958</v>
      </c>
      <c r="E388" s="298">
        <v>18889.67004773</v>
      </c>
      <c r="F388" s="298">
        <v>22047.590886890001</v>
      </c>
      <c r="G388" s="302">
        <v>0.1671771307376273</v>
      </c>
      <c r="H388" s="303">
        <v>41492.997778799996</v>
      </c>
      <c r="I388" s="298">
        <v>20108.87993273</v>
      </c>
      <c r="J388" s="298">
        <v>22047.590886890001</v>
      </c>
      <c r="K388" s="302">
        <v>9.6410688245468945E-2</v>
      </c>
      <c r="L388" s="298">
        <v>23381.377809189999</v>
      </c>
      <c r="M388" s="298">
        <v>24728.955300770001</v>
      </c>
      <c r="N388" s="298">
        <v>25834.60986579</v>
      </c>
      <c r="O388" s="306">
        <v>29024.75225641</v>
      </c>
      <c r="P388" s="306" cm="1">
        <f t="array" ref="P388">INDEX($E$302:$E$676, MATCH($B388, $B$302:$B$676, 0) * MATCH("Brazil", $A$302:$A$676, 0))</f>
        <v>184399.03464741001</v>
      </c>
      <c r="Q388" s="306">
        <f t="shared" si="31"/>
        <v>165509.36459968</v>
      </c>
      <c r="R388" s="336">
        <f>INDEX('Base GDP'!$A$1:$E$76,MATCH(A388,'Base GDP'!$A$1:$A$76,0),4)</f>
        <v>1599989.9756132001</v>
      </c>
      <c r="S388" s="336">
        <f>INDEX('Base GDP'!$A$1:$E$76,MATCH(A388,'Base GDP'!$A$1:$A$76,0),5)</f>
        <v>1743385.5162593001</v>
      </c>
      <c r="T388" s="335">
        <f t="shared" si="32"/>
        <v>1.2568128700320902E-2</v>
      </c>
      <c r="U388" s="335">
        <f t="shared" si="33"/>
        <v>1.2646423112540521E-2</v>
      </c>
      <c r="V388" s="335">
        <f t="shared" si="34"/>
        <v>7.8294412219619136E-5</v>
      </c>
    </row>
    <row r="389" spans="1:22" x14ac:dyDescent="0.45">
      <c r="A389" s="293" t="s">
        <v>106</v>
      </c>
      <c r="B389" s="297" t="s">
        <v>0</v>
      </c>
      <c r="C389" s="293" t="str">
        <f t="shared" si="30"/>
        <v>RussiaManufacture of food products (C10)</v>
      </c>
      <c r="D389" s="297" t="s">
        <v>958</v>
      </c>
      <c r="E389" s="298">
        <v>13918.75773306</v>
      </c>
      <c r="F389" s="298">
        <v>21869.79520379</v>
      </c>
      <c r="G389" s="302">
        <v>0.57124620050283648</v>
      </c>
      <c r="H389" s="303">
        <v>46463.910093469996</v>
      </c>
      <c r="I389" s="298">
        <v>16662.770487760001</v>
      </c>
      <c r="J389" s="298">
        <v>21869.79520379</v>
      </c>
      <c r="K389" s="302">
        <v>0.3124945350387518</v>
      </c>
      <c r="L389" s="298">
        <v>24443.924137739999</v>
      </c>
      <c r="M389" s="298">
        <v>25311.20952239</v>
      </c>
      <c r="N389" s="298">
        <v>26286.822254580002</v>
      </c>
      <c r="O389" s="306">
        <v>28762.034684350001</v>
      </c>
      <c r="P389" s="306" cm="1">
        <f t="array" ref="P389">INDEX($E$302:$E$676, MATCH($B389, $B$302:$B$676, 0) * MATCH("Brazil", $A$302:$A$676, 0))</f>
        <v>184399.03464741001</v>
      </c>
      <c r="Q389" s="306">
        <f t="shared" si="31"/>
        <v>170480.27691435002</v>
      </c>
      <c r="R389" s="336">
        <f>INDEX('Base GDP'!$A$1:$E$76,MATCH(A389,'Base GDP'!$A$1:$A$76,0),4)</f>
        <v>1579786.0768998</v>
      </c>
      <c r="S389" s="336">
        <f>INDEX('Base GDP'!$A$1:$E$76,MATCH(A389,'Base GDP'!$A$1:$A$76,0),5)</f>
        <v>1741025.8573970001</v>
      </c>
      <c r="T389" s="335">
        <f t="shared" si="32"/>
        <v>1.0547485340837612E-2</v>
      </c>
      <c r="U389" s="335">
        <f t="shared" si="33"/>
        <v>1.256144192854633E-2</v>
      </c>
      <c r="V389" s="335">
        <f t="shared" si="34"/>
        <v>2.0139565877087175E-3</v>
      </c>
    </row>
    <row r="390" spans="1:22" x14ac:dyDescent="0.45">
      <c r="A390" s="293" t="s">
        <v>102</v>
      </c>
      <c r="B390" s="297" t="s">
        <v>0</v>
      </c>
      <c r="C390" s="293" t="str">
        <f t="shared" si="30"/>
        <v>NigeriaManufacture of food products (C10)</v>
      </c>
      <c r="D390" s="297" t="s">
        <v>958</v>
      </c>
      <c r="E390" s="298">
        <v>11633.436238390001</v>
      </c>
      <c r="F390" s="298">
        <v>19315.169739159999</v>
      </c>
      <c r="G390" s="302">
        <v>0.66031509034454516</v>
      </c>
      <c r="H390" s="303">
        <v>48749.231588139999</v>
      </c>
      <c r="I390" s="298">
        <v>17662.58409819</v>
      </c>
      <c r="J390" s="298">
        <v>19315.169739159999</v>
      </c>
      <c r="K390" s="302">
        <v>9.3564205089296637E-2</v>
      </c>
      <c r="L390" s="298">
        <v>20529.80922938</v>
      </c>
      <c r="M390" s="298">
        <v>23419.543576280001</v>
      </c>
      <c r="N390" s="298">
        <v>26382.13308996</v>
      </c>
      <c r="O390" s="306">
        <v>34536.664751960001</v>
      </c>
      <c r="P390" s="306" cm="1">
        <f t="array" ref="P390">INDEX($E$302:$E$676, MATCH($B390, $B$302:$B$676, 0) * MATCH("Brazil", $A$302:$A$676, 0))</f>
        <v>184399.03464741001</v>
      </c>
      <c r="Q390" s="306">
        <f t="shared" si="31"/>
        <v>172765.59840901999</v>
      </c>
      <c r="R390" s="336">
        <f>INDEX('Base GDP'!$A$1:$E$76,MATCH(A390,'Base GDP'!$A$1:$A$76,0),4)</f>
        <v>460034.71302222001</v>
      </c>
      <c r="S390" s="336">
        <f>INDEX('Base GDP'!$A$1:$E$76,MATCH(A390,'Base GDP'!$A$1:$A$76,0),5)</f>
        <v>483780.49839321</v>
      </c>
      <c r="T390" s="335">
        <f t="shared" si="32"/>
        <v>3.8394024620783097E-2</v>
      </c>
      <c r="U390" s="335">
        <f t="shared" si="33"/>
        <v>3.9925482327857087E-2</v>
      </c>
      <c r="V390" s="335">
        <f t="shared" si="34"/>
        <v>1.5314577070739896E-3</v>
      </c>
    </row>
    <row r="391" spans="1:22" x14ac:dyDescent="0.45">
      <c r="A391" s="293" t="s">
        <v>70</v>
      </c>
      <c r="B391" s="297" t="s">
        <v>0</v>
      </c>
      <c r="C391" s="293" t="str">
        <f t="shared" si="30"/>
        <v>IndiaManufacture of food products (C10)</v>
      </c>
      <c r="D391" s="297" t="s">
        <v>958</v>
      </c>
      <c r="E391" s="298">
        <v>11143.624994899999</v>
      </c>
      <c r="F391" s="298">
        <v>17014.879256880002</v>
      </c>
      <c r="G391" s="302">
        <v>0.52687112718411155</v>
      </c>
      <c r="H391" s="303">
        <v>49239.042831630002</v>
      </c>
      <c r="I391" s="298">
        <v>12864.320780669999</v>
      </c>
      <c r="J391" s="298">
        <v>17014.879256880002</v>
      </c>
      <c r="K391" s="302">
        <v>0.32264108979983264</v>
      </c>
      <c r="L391" s="298">
        <v>22246.479093900001</v>
      </c>
      <c r="M391" s="298">
        <v>30765.530694159999</v>
      </c>
      <c r="N391" s="298">
        <v>37819.748206589997</v>
      </c>
      <c r="O391" s="306">
        <v>58258.836072719998</v>
      </c>
      <c r="P391" s="306" cm="1">
        <f t="array" ref="P391">INDEX($E$302:$E$676, MATCH($B391, $B$302:$B$676, 0) * MATCH("Brazil", $A$302:$A$676, 0))</f>
        <v>184399.03464741001</v>
      </c>
      <c r="Q391" s="306">
        <f t="shared" si="31"/>
        <v>173255.40965251002</v>
      </c>
      <c r="R391" s="336">
        <f>INDEX('Base GDP'!$A$1:$E$76,MATCH(A391,'Base GDP'!$A$1:$A$76,0),4)</f>
        <v>2233583.9807687998</v>
      </c>
      <c r="S391" s="336">
        <f>INDEX('Base GDP'!$A$1:$E$76,MATCH(A391,'Base GDP'!$A$1:$A$76,0),5)</f>
        <v>2928405.219999</v>
      </c>
      <c r="T391" s="335">
        <f t="shared" si="32"/>
        <v>5.7594972436371518E-3</v>
      </c>
      <c r="U391" s="335">
        <f t="shared" si="33"/>
        <v>5.8102885286093744E-3</v>
      </c>
      <c r="V391" s="335">
        <f t="shared" si="34"/>
        <v>5.0791284972222586E-5</v>
      </c>
    </row>
    <row r="392" spans="1:22" x14ac:dyDescent="0.45">
      <c r="A392" s="293" t="s">
        <v>104</v>
      </c>
      <c r="B392" s="297" t="s">
        <v>0</v>
      </c>
      <c r="C392" s="293" t="str">
        <f t="shared" si="30"/>
        <v>South KoreaManufacture of food products (C10)</v>
      </c>
      <c r="D392" s="297" t="s">
        <v>958</v>
      </c>
      <c r="E392" s="298">
        <v>13819.746060060001</v>
      </c>
      <c r="F392" s="298">
        <v>16381.755232240001</v>
      </c>
      <c r="G392" s="302">
        <v>0.18538757232192427</v>
      </c>
      <c r="H392" s="303">
        <v>46562.921766469997</v>
      </c>
      <c r="I392" s="298">
        <v>15321.49858478</v>
      </c>
      <c r="J392" s="298">
        <v>16381.755232240001</v>
      </c>
      <c r="K392" s="302">
        <v>6.9200583845840935E-2</v>
      </c>
      <c r="L392" s="298">
        <v>17212.905975760001</v>
      </c>
      <c r="M392" s="298">
        <v>18838.114978680002</v>
      </c>
      <c r="N392" s="298">
        <v>20095.976833379998</v>
      </c>
      <c r="O392" s="306">
        <v>23593.125976660001</v>
      </c>
      <c r="P392" s="306" cm="1">
        <f t="array" ref="P392">INDEX($E$302:$E$676, MATCH($B392, $B$302:$B$676, 0) * MATCH("Brazil", $A$302:$A$676, 0))</f>
        <v>184399.03464741001</v>
      </c>
      <c r="Q392" s="306">
        <f t="shared" si="31"/>
        <v>170579.28858735002</v>
      </c>
      <c r="R392" s="336">
        <f>INDEX('Base GDP'!$A$1:$E$76,MATCH(A392,'Base GDP'!$A$1:$A$76,0),4)</f>
        <v>1478297.0807395</v>
      </c>
      <c r="S392" s="336">
        <f>INDEX('Base GDP'!$A$1:$E$76,MATCH(A392,'Base GDP'!$A$1:$A$76,0),5)</f>
        <v>1710728.7967964001</v>
      </c>
      <c r="T392" s="335">
        <f t="shared" si="32"/>
        <v>1.0364289278793412E-2</v>
      </c>
      <c r="U392" s="335">
        <f t="shared" si="33"/>
        <v>9.575892603735512E-3</v>
      </c>
      <c r="V392" s="335">
        <f t="shared" si="34"/>
        <v>-7.8839667505790044E-4</v>
      </c>
    </row>
    <row r="393" spans="1:22" x14ac:dyDescent="0.45">
      <c r="A393" s="293" t="s">
        <v>142</v>
      </c>
      <c r="B393" s="297" t="s">
        <v>0</v>
      </c>
      <c r="C393" s="293" t="str">
        <f t="shared" si="30"/>
        <v>ArgentinaManufacture of food products (C10)</v>
      </c>
      <c r="D393" s="297" t="s">
        <v>958</v>
      </c>
      <c r="E393" s="298">
        <v>14473.689343440001</v>
      </c>
      <c r="F393" s="298">
        <v>15946.29308705</v>
      </c>
      <c r="G393" s="302">
        <v>0.10174349529461457</v>
      </c>
      <c r="H393" s="303">
        <v>45908.978483090003</v>
      </c>
      <c r="I393" s="298">
        <v>15163.68110661</v>
      </c>
      <c r="J393" s="298">
        <v>15946.29308705</v>
      </c>
      <c r="K393" s="302">
        <v>5.161094954040224E-2</v>
      </c>
      <c r="L393" s="298">
        <v>15702.9845577</v>
      </c>
      <c r="M393" s="298">
        <v>17024.61214487</v>
      </c>
      <c r="N393" s="298">
        <v>18184.944986549999</v>
      </c>
      <c r="O393" s="306">
        <v>21748.96059526</v>
      </c>
      <c r="P393" s="306" cm="1">
        <f t="array" ref="P393">INDEX($E$302:$E$676, MATCH($B393, $B$302:$B$676, 0) * MATCH("Brazil", $A$302:$A$676, 0))</f>
        <v>184399.03464741001</v>
      </c>
      <c r="Q393" s="306">
        <f t="shared" si="31"/>
        <v>169925.34530397001</v>
      </c>
      <c r="R393" s="336">
        <f>INDEX('Base GDP'!$A$1:$E$76,MATCH(A393,'Base GDP'!$A$1:$A$76,0),4)</f>
        <v>464976.94374428003</v>
      </c>
      <c r="S393" s="336">
        <f>INDEX('Base GDP'!$A$1:$E$76,MATCH(A393,'Base GDP'!$A$1:$A$76,0),5)</f>
        <v>445673.70595729002</v>
      </c>
      <c r="T393" s="335">
        <f t="shared" si="32"/>
        <v>3.2611683892329636E-2</v>
      </c>
      <c r="U393" s="335">
        <f t="shared" si="33"/>
        <v>3.578019720234106E-2</v>
      </c>
      <c r="V393" s="335">
        <f t="shared" si="34"/>
        <v>3.1685133100114241E-3</v>
      </c>
    </row>
    <row r="394" spans="1:22" x14ac:dyDescent="0.45">
      <c r="A394" s="293" t="s">
        <v>120</v>
      </c>
      <c r="B394" s="297" t="s">
        <v>0</v>
      </c>
      <c r="C394" s="293" t="str">
        <f t="shared" si="30"/>
        <v>AustraliaManufacture of food products (C10)</v>
      </c>
      <c r="D394" s="297" t="s">
        <v>958</v>
      </c>
      <c r="E394" s="298">
        <v>14248.63200689</v>
      </c>
      <c r="F394" s="298">
        <v>15744.963470950001</v>
      </c>
      <c r="G394" s="302">
        <v>0.10501579824199547</v>
      </c>
      <c r="H394" s="303">
        <v>46134.035819639997</v>
      </c>
      <c r="I394" s="298">
        <v>14111.55665199</v>
      </c>
      <c r="J394" s="298">
        <v>15744.963470950001</v>
      </c>
      <c r="K394" s="302">
        <v>0.11574958448894135</v>
      </c>
      <c r="L394" s="298">
        <v>17168.313517250001</v>
      </c>
      <c r="M394" s="298">
        <v>19350.253662110001</v>
      </c>
      <c r="N394" s="298">
        <v>21149.80804675</v>
      </c>
      <c r="O394" s="306">
        <v>26546.962206799999</v>
      </c>
      <c r="P394" s="306" cm="1">
        <f t="array" ref="P394">INDEX($E$302:$E$676, MATCH($B394, $B$302:$B$676, 0) * MATCH("Brazil", $A$302:$A$676, 0))</f>
        <v>184399.03464741001</v>
      </c>
      <c r="Q394" s="306">
        <f t="shared" si="31"/>
        <v>170150.40264052001</v>
      </c>
      <c r="R394" s="336">
        <f>INDEX('Base GDP'!$A$1:$E$76,MATCH(A394,'Base GDP'!$A$1:$A$76,0),4)</f>
        <v>1256563.3075111001</v>
      </c>
      <c r="S394" s="336">
        <f>INDEX('Base GDP'!$A$1:$E$76,MATCH(A394,'Base GDP'!$A$1:$A$76,0),5)</f>
        <v>1430586.2916371</v>
      </c>
      <c r="T394" s="335">
        <f t="shared" si="32"/>
        <v>1.1230279101449366E-2</v>
      </c>
      <c r="U394" s="335">
        <f t="shared" si="33"/>
        <v>1.1005951589912242E-2</v>
      </c>
      <c r="V394" s="335">
        <f t="shared" si="34"/>
        <v>-2.2432751153712328E-4</v>
      </c>
    </row>
    <row r="395" spans="1:22" x14ac:dyDescent="0.45">
      <c r="A395" s="293" t="s">
        <v>109</v>
      </c>
      <c r="B395" s="297" t="s">
        <v>0</v>
      </c>
      <c r="C395" s="293" t="str">
        <f t="shared" si="30"/>
        <v>ThailandManufacture of food products (C10)</v>
      </c>
      <c r="D395" s="297" t="s">
        <v>958</v>
      </c>
      <c r="E395" s="298">
        <v>15352.702050010001</v>
      </c>
      <c r="F395" s="298">
        <v>15715.27093604</v>
      </c>
      <c r="G395" s="302">
        <v>2.3615965766089042E-2</v>
      </c>
      <c r="H395" s="303">
        <v>45029.965776519995</v>
      </c>
      <c r="I395" s="298">
        <v>14819.308173519999</v>
      </c>
      <c r="J395" s="298">
        <v>15715.27093604</v>
      </c>
      <c r="K395" s="302">
        <v>6.0459149106633747E-2</v>
      </c>
      <c r="L395" s="298">
        <v>18704.66555537</v>
      </c>
      <c r="M395" s="298">
        <v>22254.99480751</v>
      </c>
      <c r="N395" s="298">
        <v>24659.211409200001</v>
      </c>
      <c r="O395" s="306">
        <v>31163.27637843</v>
      </c>
      <c r="P395" s="306" cm="1">
        <f t="array" ref="P395">INDEX($E$302:$E$676, MATCH($B395, $B$302:$B$676, 0) * MATCH("Brazil", $A$302:$A$676, 0))</f>
        <v>184399.03464741001</v>
      </c>
      <c r="Q395" s="306">
        <f t="shared" si="31"/>
        <v>169046.3325974</v>
      </c>
      <c r="R395" s="336">
        <f>INDEX('Base GDP'!$A$1:$E$76,MATCH(A395,'Base GDP'!$A$1:$A$76,0),4)</f>
        <v>474324.68093352998</v>
      </c>
      <c r="S395" s="336">
        <f>INDEX('Base GDP'!$A$1:$E$76,MATCH(A395,'Base GDP'!$A$1:$A$76,0),5)</f>
        <v>518585.14704719</v>
      </c>
      <c r="T395" s="335">
        <f t="shared" si="32"/>
        <v>3.1242962403629847E-2</v>
      </c>
      <c r="U395" s="335">
        <f t="shared" si="33"/>
        <v>3.0304128503337077E-2</v>
      </c>
      <c r="V395" s="335">
        <f t="shared" si="34"/>
        <v>-9.3883390029277092E-4</v>
      </c>
    </row>
    <row r="396" spans="1:22" x14ac:dyDescent="0.45">
      <c r="A396" s="293" t="s">
        <v>112</v>
      </c>
      <c r="B396" s="297" t="s">
        <v>0</v>
      </c>
      <c r="C396" s="293" t="str">
        <f t="shared" si="30"/>
        <v>PolandManufacture of food products (C10)</v>
      </c>
      <c r="D396" s="297" t="s">
        <v>958</v>
      </c>
      <c r="E396" s="298">
        <v>8545.9701982299994</v>
      </c>
      <c r="F396" s="298">
        <v>14011.50213047</v>
      </c>
      <c r="G396" s="302">
        <v>0.63954493234390131</v>
      </c>
      <c r="H396" s="303">
        <v>51836.697628299997</v>
      </c>
      <c r="I396" s="298">
        <v>12806.87505126</v>
      </c>
      <c r="J396" s="298">
        <v>14011.50213047</v>
      </c>
      <c r="K396" s="302">
        <v>9.4060969158239915E-2</v>
      </c>
      <c r="L396" s="298">
        <v>16285.299229910001</v>
      </c>
      <c r="M396" s="298">
        <v>18060.900784130001</v>
      </c>
      <c r="N396" s="298">
        <v>19403.560062529999</v>
      </c>
      <c r="O396" s="306">
        <v>22376.993046600001</v>
      </c>
      <c r="P396" s="306" cm="1">
        <f t="array" ref="P396">INDEX($E$302:$E$676, MATCH($B396, $B$302:$B$676, 0) * MATCH("Brazil", $A$302:$A$676, 0))</f>
        <v>184399.03464741001</v>
      </c>
      <c r="Q396" s="306">
        <f t="shared" si="31"/>
        <v>175853.06444918</v>
      </c>
      <c r="R396" s="336">
        <f>INDEX('Base GDP'!$A$1:$E$76,MATCH(A396,'Base GDP'!$A$1:$A$76,0),4)</f>
        <v>496555.53410177003</v>
      </c>
      <c r="S396" s="336">
        <f>INDEX('Base GDP'!$A$1:$E$76,MATCH(A396,'Base GDP'!$A$1:$A$76,0),5)</f>
        <v>623108.57565016998</v>
      </c>
      <c r="T396" s="335">
        <f t="shared" si="32"/>
        <v>2.5791425473540703E-2</v>
      </c>
      <c r="U396" s="335">
        <f t="shared" si="33"/>
        <v>2.2486453690434262E-2</v>
      </c>
      <c r="V396" s="335">
        <f t="shared" si="34"/>
        <v>-3.3049717831064411E-3</v>
      </c>
    </row>
    <row r="397" spans="1:22" x14ac:dyDescent="0.45">
      <c r="A397" s="293" t="s">
        <v>66</v>
      </c>
      <c r="B397" s="297" t="s">
        <v>0</v>
      </c>
      <c r="C397" s="293" t="str">
        <f t="shared" si="30"/>
        <v>NetherlandsManufacture of food products (C10)</v>
      </c>
      <c r="D397" s="297" t="s">
        <v>958</v>
      </c>
      <c r="E397" s="298">
        <v>10876.53090625</v>
      </c>
      <c r="F397" s="298">
        <v>13912.610339819999</v>
      </c>
      <c r="G397" s="302">
        <v>0.27914042259792327</v>
      </c>
      <c r="H397" s="303">
        <v>49506.136920279998</v>
      </c>
      <c r="I397" s="298">
        <v>13822.66845198</v>
      </c>
      <c r="J397" s="298">
        <v>13912.610339819999</v>
      </c>
      <c r="K397" s="302">
        <v>6.5068396997625122E-3</v>
      </c>
      <c r="L397" s="298">
        <v>14635.68411004</v>
      </c>
      <c r="M397" s="298">
        <v>15548.06432542</v>
      </c>
      <c r="N397" s="298">
        <v>16269.69742002</v>
      </c>
      <c r="O397" s="306">
        <v>18103.853686620001</v>
      </c>
      <c r="P397" s="306" cm="1">
        <f t="array" ref="P397">INDEX($E$302:$E$676, MATCH($B397, $B$302:$B$676, 0) * MATCH("Brazil", $A$302:$A$676, 0))</f>
        <v>184399.03464741001</v>
      </c>
      <c r="Q397" s="306">
        <f t="shared" si="31"/>
        <v>173522.50374116001</v>
      </c>
      <c r="R397" s="336">
        <f>INDEX('Base GDP'!$A$1:$E$76,MATCH(A397,'Base GDP'!$A$1:$A$76,0),4)</f>
        <v>829203.89806390996</v>
      </c>
      <c r="S397" s="336">
        <f>INDEX('Base GDP'!$A$1:$E$76,MATCH(A397,'Base GDP'!$A$1:$A$76,0),5)</f>
        <v>928325.09368340997</v>
      </c>
      <c r="T397" s="335">
        <f t="shared" si="32"/>
        <v>1.6669806406185796E-2</v>
      </c>
      <c r="U397" s="335">
        <f t="shared" si="33"/>
        <v>1.4986786885849998E-2</v>
      </c>
      <c r="V397" s="335">
        <f t="shared" si="34"/>
        <v>-1.6830195203357979E-3</v>
      </c>
    </row>
    <row r="398" spans="1:22" x14ac:dyDescent="0.45">
      <c r="A398" s="293" t="s">
        <v>127</v>
      </c>
      <c r="B398" s="297" t="s">
        <v>0</v>
      </c>
      <c r="C398" s="293" t="str">
        <f t="shared" si="30"/>
        <v>IrelandManufacture of food products (C10)</v>
      </c>
      <c r="D398" s="297" t="s">
        <v>958</v>
      </c>
      <c r="E398" s="298">
        <v>6411.5695442400001</v>
      </c>
      <c r="F398" s="298">
        <v>12368.99426369</v>
      </c>
      <c r="G398" s="302">
        <v>0.92916791720710679</v>
      </c>
      <c r="H398" s="303">
        <v>53971.098282289997</v>
      </c>
      <c r="I398" s="298">
        <v>9323.2881293999999</v>
      </c>
      <c r="J398" s="298">
        <v>12368.99426369</v>
      </c>
      <c r="K398" s="302">
        <v>0.32667725077440091</v>
      </c>
      <c r="L398" s="298">
        <v>16283.074836440001</v>
      </c>
      <c r="M398" s="298">
        <v>17586.326678419999</v>
      </c>
      <c r="N398" s="298">
        <v>18525.20997846</v>
      </c>
      <c r="O398" s="306">
        <v>21182.207536630001</v>
      </c>
      <c r="P398" s="306" cm="1">
        <f t="array" ref="P398">INDEX($E$302:$E$676, MATCH($B398, $B$302:$B$676, 0) * MATCH("Brazil", $A$302:$A$676, 0))</f>
        <v>184399.03464741001</v>
      </c>
      <c r="Q398" s="306">
        <f t="shared" si="31"/>
        <v>177987.46510317002</v>
      </c>
      <c r="R398" s="336">
        <f>INDEX('Base GDP'!$A$1:$E$76,MATCH(A398,'Base GDP'!$A$1:$A$76,0),4)</f>
        <v>308812.05776281998</v>
      </c>
      <c r="S398" s="336">
        <f>INDEX('Base GDP'!$A$1:$E$76,MATCH(A398,'Base GDP'!$A$1:$A$76,0),5)</f>
        <v>483748.84960921999</v>
      </c>
      <c r="T398" s="335">
        <f t="shared" si="32"/>
        <v>3.0190816372075272E-2</v>
      </c>
      <c r="U398" s="335">
        <f t="shared" si="33"/>
        <v>2.5569041194995853E-2</v>
      </c>
      <c r="V398" s="335">
        <f t="shared" si="34"/>
        <v>-4.6217751770794187E-3</v>
      </c>
    </row>
    <row r="399" spans="1:22" x14ac:dyDescent="0.45">
      <c r="A399" s="293" t="s">
        <v>108</v>
      </c>
      <c r="B399" s="297" t="s">
        <v>0</v>
      </c>
      <c r="C399" s="293" t="str">
        <f t="shared" si="30"/>
        <v>TurkeyManufacture of food products (C10)</v>
      </c>
      <c r="D399" s="297" t="s">
        <v>958</v>
      </c>
      <c r="E399" s="298">
        <v>6382.7500348499998</v>
      </c>
      <c r="F399" s="298">
        <v>10495.88761184</v>
      </c>
      <c r="G399" s="302">
        <v>0.64441464173469898</v>
      </c>
      <c r="H399" s="303">
        <v>53999.917791679996</v>
      </c>
      <c r="I399" s="298">
        <v>7941.2494320200003</v>
      </c>
      <c r="J399" s="298">
        <v>10495.88761184</v>
      </c>
      <c r="K399" s="302">
        <v>0.32169222257638896</v>
      </c>
      <c r="L399" s="298">
        <v>11833.75601567</v>
      </c>
      <c r="M399" s="298">
        <v>13208.574547869999</v>
      </c>
      <c r="N399" s="298">
        <v>14426.948602390001</v>
      </c>
      <c r="O399" s="306">
        <v>17901.18336191</v>
      </c>
      <c r="P399" s="306" cm="1">
        <f t="array" ref="P399">INDEX($E$302:$E$676, MATCH($B399, $B$302:$B$676, 0) * MATCH("Brazil", $A$302:$A$676, 0))</f>
        <v>184399.03464741001</v>
      </c>
      <c r="Q399" s="306">
        <f t="shared" si="31"/>
        <v>178016.28461256</v>
      </c>
      <c r="R399" s="336">
        <f>INDEX('Base GDP'!$A$1:$E$76,MATCH(A399,'Base GDP'!$A$1:$A$76,0),4)</f>
        <v>659235.83503077005</v>
      </c>
      <c r="S399" s="336">
        <f>INDEX('Base GDP'!$A$1:$E$76,MATCH(A399,'Base GDP'!$A$1:$A$76,0),5)</f>
        <v>865088.75381619995</v>
      </c>
      <c r="T399" s="335">
        <f t="shared" si="32"/>
        <v>1.2046143443718195E-2</v>
      </c>
      <c r="U399" s="335">
        <f t="shared" si="33"/>
        <v>1.2132729232161531E-2</v>
      </c>
      <c r="V399" s="335">
        <f t="shared" si="34"/>
        <v>8.6585788443336795E-5</v>
      </c>
    </row>
    <row r="400" spans="1:22" x14ac:dyDescent="0.45">
      <c r="A400" s="293" t="s">
        <v>122</v>
      </c>
      <c r="B400" s="297" t="s">
        <v>0</v>
      </c>
      <c r="C400" s="293" t="str">
        <f t="shared" si="30"/>
        <v>VietnamManufacture of food products (C10)</v>
      </c>
      <c r="D400" s="297" t="s">
        <v>958</v>
      </c>
      <c r="E400" s="298">
        <v>3977.6018618500002</v>
      </c>
      <c r="F400" s="298">
        <v>9210.5727415900001</v>
      </c>
      <c r="G400" s="302">
        <v>1.3156095208850598</v>
      </c>
      <c r="H400" s="303">
        <v>56405.065964679998</v>
      </c>
      <c r="I400" s="298">
        <v>6179.6414286199997</v>
      </c>
      <c r="J400" s="298">
        <v>9210.5727415900001</v>
      </c>
      <c r="K400" s="302">
        <v>0.49047041773859834</v>
      </c>
      <c r="L400" s="298">
        <v>13675.16450003</v>
      </c>
      <c r="M400" s="298">
        <v>19100.534780040001</v>
      </c>
      <c r="N400" s="298">
        <v>24014.18098745</v>
      </c>
      <c r="O400" s="306">
        <v>39257.964978960001</v>
      </c>
      <c r="P400" s="306" cm="1">
        <f t="array" ref="P400">INDEX($E$302:$E$676, MATCH($B400, $B$302:$B$676, 0) * MATCH("Brazil", $A$302:$A$676, 0))</f>
        <v>184399.03464741001</v>
      </c>
      <c r="Q400" s="306">
        <f t="shared" si="31"/>
        <v>180421.43278556</v>
      </c>
      <c r="R400" s="336">
        <f>INDEX('Base GDP'!$A$1:$E$76,MATCH(A400,'Base GDP'!$A$1:$A$76,0),4)</f>
        <v>254018.52751081</v>
      </c>
      <c r="S400" s="336">
        <f>INDEX('Base GDP'!$A$1:$E$76,MATCH(A400,'Base GDP'!$A$1:$A$76,0),5)</f>
        <v>352775.42056751001</v>
      </c>
      <c r="T400" s="335">
        <f t="shared" si="32"/>
        <v>2.4327522441673154E-2</v>
      </c>
      <c r="U400" s="335">
        <f t="shared" si="33"/>
        <v>2.6108884589444884E-2</v>
      </c>
      <c r="V400" s="335">
        <f t="shared" si="34"/>
        <v>1.7813621477717305E-3</v>
      </c>
    </row>
    <row r="401" spans="1:22" x14ac:dyDescent="0.45">
      <c r="A401" s="293" t="s">
        <v>105</v>
      </c>
      <c r="B401" s="297" t="s">
        <v>0</v>
      </c>
      <c r="C401" s="293" t="str">
        <f t="shared" si="30"/>
        <v>Saudi ArabiaManufacture of food products (C10)</v>
      </c>
      <c r="D401" s="297" t="s">
        <v>958</v>
      </c>
      <c r="E401" s="298">
        <v>7435.8250228899997</v>
      </c>
      <c r="F401" s="298">
        <v>9184.8562693799995</v>
      </c>
      <c r="G401" s="302">
        <v>0.23521683755412304</v>
      </c>
      <c r="H401" s="303">
        <v>52946.84280364</v>
      </c>
      <c r="I401" s="298">
        <v>8297.7398128900004</v>
      </c>
      <c r="J401" s="298">
        <v>9184.8562693799995</v>
      </c>
      <c r="K401" s="302">
        <v>0.10691061379291766</v>
      </c>
      <c r="L401" s="298">
        <v>10499.864183670001</v>
      </c>
      <c r="M401" s="298">
        <v>11481.355745020001</v>
      </c>
      <c r="N401" s="298">
        <v>12587.470606790001</v>
      </c>
      <c r="O401" s="306">
        <v>14834.23317356</v>
      </c>
      <c r="P401" s="306" cm="1">
        <f t="array" ref="P401">INDEX($E$302:$E$676, MATCH($B401, $B$302:$B$676, 0) * MATCH("Brazil", $A$302:$A$676, 0))</f>
        <v>184399.03464741001</v>
      </c>
      <c r="Q401" s="306">
        <f t="shared" si="31"/>
        <v>176963.20962452001</v>
      </c>
      <c r="R401" s="336">
        <f>INDEX('Base GDP'!$A$1:$E$76,MATCH(A401,'Base GDP'!$A$1:$A$76,0),4)</f>
        <v>791157.39281293005</v>
      </c>
      <c r="S401" s="336">
        <f>INDEX('Base GDP'!$A$1:$E$76,MATCH(A401,'Base GDP'!$A$1:$A$76,0),5)</f>
        <v>836861.61444072996</v>
      </c>
      <c r="T401" s="335">
        <f t="shared" si="32"/>
        <v>1.0488102479062606E-2</v>
      </c>
      <c r="U401" s="335">
        <f t="shared" si="33"/>
        <v>1.0975358543022897E-2</v>
      </c>
      <c r="V401" s="335">
        <f t="shared" si="34"/>
        <v>4.8725606396029034E-4</v>
      </c>
    </row>
    <row r="402" spans="1:22" x14ac:dyDescent="0.45">
      <c r="A402" s="293" t="s">
        <v>67</v>
      </c>
      <c r="B402" s="297" t="s">
        <v>0</v>
      </c>
      <c r="C402" s="293" t="str">
        <f t="shared" si="30"/>
        <v>SwitzerlandManufacture of food products (C10)</v>
      </c>
      <c r="D402" s="297" t="s">
        <v>958</v>
      </c>
      <c r="E402" s="298">
        <v>7827.7837417500004</v>
      </c>
      <c r="F402" s="298">
        <v>8791.8607585000009</v>
      </c>
      <c r="G402" s="302">
        <v>0.12316091611065239</v>
      </c>
      <c r="H402" s="303">
        <v>52554.884084780002</v>
      </c>
      <c r="I402" s="298">
        <v>6992.2944412200004</v>
      </c>
      <c r="J402" s="298">
        <v>8791.8607585000009</v>
      </c>
      <c r="K402" s="302">
        <v>0.25736420747264988</v>
      </c>
      <c r="L402" s="298">
        <v>9350.1054077400004</v>
      </c>
      <c r="M402" s="298">
        <v>9656.3217686400003</v>
      </c>
      <c r="N402" s="298">
        <v>9848.6637566099998</v>
      </c>
      <c r="O402" s="306">
        <v>10319.32491306</v>
      </c>
      <c r="P402" s="306" cm="1">
        <f t="array" ref="P402">INDEX($E$302:$E$676, MATCH($B402, $B$302:$B$676, 0) * MATCH("Brazil", $A$302:$A$676, 0))</f>
        <v>184399.03464741001</v>
      </c>
      <c r="Q402" s="306">
        <f t="shared" si="31"/>
        <v>176571.25090566001</v>
      </c>
      <c r="R402" s="336">
        <f>INDEX('Base GDP'!$A$1:$E$76,MATCH(A402,'Base GDP'!$A$1:$A$76,0),4)</f>
        <v>669989.49931316997</v>
      </c>
      <c r="S402" s="336">
        <f>INDEX('Base GDP'!$A$1:$E$76,MATCH(A402,'Base GDP'!$A$1:$A$76,0),5)</f>
        <v>743458.79269773001</v>
      </c>
      <c r="T402" s="335">
        <f t="shared" si="32"/>
        <v>1.043642392662579E-2</v>
      </c>
      <c r="U402" s="335">
        <f t="shared" si="33"/>
        <v>1.1825619449058734E-2</v>
      </c>
      <c r="V402" s="335">
        <f t="shared" si="34"/>
        <v>1.3891955224329434E-3</v>
      </c>
    </row>
    <row r="403" spans="1:22" x14ac:dyDescent="0.45">
      <c r="A403" s="293" t="s">
        <v>170</v>
      </c>
      <c r="B403" s="297" t="s">
        <v>0</v>
      </c>
      <c r="C403" s="293" t="str">
        <f t="shared" si="30"/>
        <v>ChileManufacture of food products (C10)</v>
      </c>
      <c r="D403" s="297" t="s">
        <v>958</v>
      </c>
      <c r="E403" s="298">
        <v>6350.8630193700001</v>
      </c>
      <c r="F403" s="298">
        <v>8562.1119372699995</v>
      </c>
      <c r="G403" s="302">
        <v>0.34818085528781473</v>
      </c>
      <c r="H403" s="303">
        <v>54031.804807159999</v>
      </c>
      <c r="I403" s="298">
        <v>8150.6612903100004</v>
      </c>
      <c r="J403" s="298">
        <v>8562.1119372699995</v>
      </c>
      <c r="K403" s="302">
        <v>5.048064596294255E-2</v>
      </c>
      <c r="L403" s="298">
        <v>8871.9680020100004</v>
      </c>
      <c r="M403" s="298">
        <v>9239.1906966499992</v>
      </c>
      <c r="N403" s="298">
        <v>9573.5280038500005</v>
      </c>
      <c r="O403" s="306">
        <v>10443.46709728</v>
      </c>
      <c r="P403" s="306" cm="1">
        <f t="array" ref="P403">INDEX($E$302:$E$676, MATCH($B403, $B$302:$B$676, 0) * MATCH("Brazil", $A$302:$A$676, 0))</f>
        <v>184399.03464741001</v>
      </c>
      <c r="Q403" s="306">
        <f t="shared" si="31"/>
        <v>178048.17162804</v>
      </c>
      <c r="R403" s="336">
        <f>INDEX('Base GDP'!$A$1:$E$76,MATCH(A403,'Base GDP'!$A$1:$A$76,0),4)</f>
        <v>257576.69277617999</v>
      </c>
      <c r="S403" s="336">
        <f>INDEX('Base GDP'!$A$1:$E$76,MATCH(A403,'Base GDP'!$A$1:$A$76,0),5)</f>
        <v>291863.26262717001</v>
      </c>
      <c r="T403" s="335">
        <f t="shared" si="32"/>
        <v>3.1643628941972937E-2</v>
      </c>
      <c r="U403" s="335">
        <f t="shared" si="33"/>
        <v>2.9336038596290737E-2</v>
      </c>
      <c r="V403" s="335">
        <f t="shared" si="34"/>
        <v>-2.3075903456821999E-3</v>
      </c>
    </row>
    <row r="404" spans="1:22" x14ac:dyDescent="0.45">
      <c r="A404" s="293" t="s">
        <v>118</v>
      </c>
      <c r="B404" s="297" t="s">
        <v>0</v>
      </c>
      <c r="C404" s="293" t="str">
        <f t="shared" si="30"/>
        <v>BelgiumManufacture of food products (C10)</v>
      </c>
      <c r="D404" s="297" t="s">
        <v>958</v>
      </c>
      <c r="E404" s="298">
        <v>7122.5837485700004</v>
      </c>
      <c r="F404" s="298">
        <v>8069.1774681099996</v>
      </c>
      <c r="G404" s="302">
        <v>0.13290032844191502</v>
      </c>
      <c r="H404" s="303">
        <v>53260.084077959997</v>
      </c>
      <c r="I404" s="298">
        <v>7607.7294137899999</v>
      </c>
      <c r="J404" s="298">
        <v>8069.1774681099996</v>
      </c>
      <c r="K404" s="302">
        <v>6.0655161247397338E-2</v>
      </c>
      <c r="L404" s="298">
        <v>8672.0313634199993</v>
      </c>
      <c r="M404" s="298">
        <v>9997.5980404999991</v>
      </c>
      <c r="N404" s="298">
        <v>10909.45721448</v>
      </c>
      <c r="O404" s="306">
        <v>14121.85578308</v>
      </c>
      <c r="P404" s="306" cm="1">
        <f t="array" ref="P404">INDEX($E$302:$E$676, MATCH($B404, $B$302:$B$676, 0) * MATCH("Brazil", $A$302:$A$676, 0))</f>
        <v>184399.03464741001</v>
      </c>
      <c r="Q404" s="306">
        <f t="shared" si="31"/>
        <v>177276.45089884</v>
      </c>
      <c r="R404" s="336">
        <f>INDEX('Base GDP'!$A$1:$E$76,MATCH(A404,'Base GDP'!$A$1:$A$76,0),4)</f>
        <v>500331.50984029</v>
      </c>
      <c r="S404" s="336">
        <f>INDEX('Base GDP'!$A$1:$E$76,MATCH(A404,'Base GDP'!$A$1:$A$76,0),5)</f>
        <v>542439.84157398995</v>
      </c>
      <c r="T404" s="335">
        <f t="shared" si="32"/>
        <v>1.5205377363137594E-2</v>
      </c>
      <c r="U404" s="335">
        <f t="shared" si="33"/>
        <v>1.4875709432949804E-2</v>
      </c>
      <c r="V404" s="335">
        <f t="shared" si="34"/>
        <v>-3.2966793018779014E-4</v>
      </c>
    </row>
    <row r="405" spans="1:22" x14ac:dyDescent="0.45">
      <c r="A405" s="293" t="s">
        <v>144</v>
      </c>
      <c r="B405" s="297" t="s">
        <v>0</v>
      </c>
      <c r="C405" s="293" t="str">
        <f t="shared" si="30"/>
        <v>MalaysiaManufacture of food products (C10)</v>
      </c>
      <c r="D405" s="297" t="s">
        <v>958</v>
      </c>
      <c r="E405" s="298">
        <v>4390.8859698699998</v>
      </c>
      <c r="F405" s="298">
        <v>7761.5584035299999</v>
      </c>
      <c r="G405" s="302">
        <v>0.76765200845327231</v>
      </c>
      <c r="H405" s="303">
        <v>55991.781856660004</v>
      </c>
      <c r="I405" s="298">
        <v>6251.85700129</v>
      </c>
      <c r="J405" s="298">
        <v>7761.5584035299999</v>
      </c>
      <c r="K405" s="302">
        <v>0.24148047562963937</v>
      </c>
      <c r="L405" s="298">
        <v>10066.09298361</v>
      </c>
      <c r="M405" s="298">
        <v>12358.55292523</v>
      </c>
      <c r="N405" s="298">
        <v>14528.182314719999</v>
      </c>
      <c r="O405" s="306">
        <v>20922.92505432</v>
      </c>
      <c r="P405" s="306" cm="1">
        <f t="array" ref="P405">INDEX($E$302:$E$676, MATCH($B405, $B$302:$B$676, 0) * MATCH("Brazil", $A$302:$A$676, 0))</f>
        <v>184399.03464741001</v>
      </c>
      <c r="Q405" s="306">
        <f t="shared" si="31"/>
        <v>180008.14867754001</v>
      </c>
      <c r="R405" s="336">
        <f>INDEX('Base GDP'!$A$1:$E$76,MATCH(A405,'Base GDP'!$A$1:$A$76,0),4)</f>
        <v>301830.41438700003</v>
      </c>
      <c r="S405" s="336">
        <f>INDEX('Base GDP'!$A$1:$E$76,MATCH(A405,'Base GDP'!$A$1:$A$76,0),5)</f>
        <v>356559.39228144003</v>
      </c>
      <c r="T405" s="335">
        <f t="shared" si="32"/>
        <v>2.0713144545049102E-2</v>
      </c>
      <c r="U405" s="335">
        <f t="shared" si="33"/>
        <v>2.1767925825394142E-2</v>
      </c>
      <c r="V405" s="335">
        <f t="shared" si="34"/>
        <v>1.05478128034504E-3</v>
      </c>
    </row>
    <row r="406" spans="1:22" x14ac:dyDescent="0.45">
      <c r="A406" s="293" t="s">
        <v>152</v>
      </c>
      <c r="B406" s="297" t="s">
        <v>0</v>
      </c>
      <c r="C406" s="293" t="str">
        <f t="shared" si="30"/>
        <v>ColombiaManufacture of food products (C10)</v>
      </c>
      <c r="D406" s="297" t="s">
        <v>958</v>
      </c>
      <c r="E406" s="298">
        <v>6034.3412192899996</v>
      </c>
      <c r="F406" s="298">
        <v>7543.6241250200001</v>
      </c>
      <c r="G406" s="302">
        <v>0.25011560514762921</v>
      </c>
      <c r="H406" s="303">
        <v>54348.32660724</v>
      </c>
      <c r="I406" s="298">
        <v>6851.4946397000003</v>
      </c>
      <c r="J406" s="298">
        <v>7543.6241250200001</v>
      </c>
      <c r="K406" s="302">
        <v>0.10101875893028578</v>
      </c>
      <c r="L406" s="298">
        <v>8812.0582843200009</v>
      </c>
      <c r="M406" s="298">
        <v>9989.6415176499995</v>
      </c>
      <c r="N406" s="298">
        <v>10956.35472288</v>
      </c>
      <c r="O406" s="306">
        <v>13641.88621749</v>
      </c>
      <c r="P406" s="306" cm="1">
        <f t="array" ref="P406">INDEX($E$302:$E$676, MATCH($B406, $B$302:$B$676, 0) * MATCH("Brazil", $A$302:$A$676, 0))</f>
        <v>184399.03464741001</v>
      </c>
      <c r="Q406" s="306">
        <f t="shared" si="31"/>
        <v>178364.69342811999</v>
      </c>
      <c r="R406" s="336">
        <f>INDEX('Base GDP'!$A$1:$E$76,MATCH(A406,'Base GDP'!$A$1:$A$76,0),4)</f>
        <v>295018.32730579999</v>
      </c>
      <c r="S406" s="336">
        <f>INDEX('Base GDP'!$A$1:$E$76,MATCH(A406,'Base GDP'!$A$1:$A$76,0),5)</f>
        <v>332655.81031924998</v>
      </c>
      <c r="T406" s="335">
        <f t="shared" si="32"/>
        <v>2.3223962735705272E-2</v>
      </c>
      <c r="U406" s="335">
        <f t="shared" si="33"/>
        <v>2.2676964871830674E-2</v>
      </c>
      <c r="V406" s="335">
        <f t="shared" si="34"/>
        <v>-5.4699786387459731E-4</v>
      </c>
    </row>
    <row r="407" spans="1:22" x14ac:dyDescent="0.45">
      <c r="A407" s="293" t="s">
        <v>145</v>
      </c>
      <c r="B407" s="297" t="s">
        <v>0</v>
      </c>
      <c r="C407" s="293" t="str">
        <f t="shared" si="30"/>
        <v>South AfricaManufacture of food products (C10)</v>
      </c>
      <c r="D407" s="297" t="s">
        <v>958</v>
      </c>
      <c r="E407" s="298">
        <v>6365.9535073999996</v>
      </c>
      <c r="F407" s="298">
        <v>7207.5733194499999</v>
      </c>
      <c r="G407" s="302">
        <v>0.13220640255566951</v>
      </c>
      <c r="H407" s="303">
        <v>54016.714319129998</v>
      </c>
      <c r="I407" s="298">
        <v>6909.9500568000003</v>
      </c>
      <c r="J407" s="298">
        <v>7207.5733194499999</v>
      </c>
      <c r="K407" s="302">
        <v>4.3071695193674042E-2</v>
      </c>
      <c r="L407" s="298">
        <v>7522.7734118099997</v>
      </c>
      <c r="M407" s="298">
        <v>8352.8190452399995</v>
      </c>
      <c r="N407" s="298">
        <v>9177.8694800800004</v>
      </c>
      <c r="O407" s="306">
        <v>11255.7281986</v>
      </c>
      <c r="P407" s="306" cm="1">
        <f t="array" ref="P407">INDEX($E$302:$E$676, MATCH($B407, $B$302:$B$676, 0) * MATCH("Brazil", $A$302:$A$676, 0))</f>
        <v>184399.03464741001</v>
      </c>
      <c r="Q407" s="306">
        <f t="shared" si="31"/>
        <v>178033.08114001001</v>
      </c>
      <c r="R407" s="336">
        <f>INDEX('Base GDP'!$A$1:$E$76,MATCH(A407,'Base GDP'!$A$1:$A$76,0),4)</f>
        <v>375376.48654821003</v>
      </c>
      <c r="S407" s="336">
        <f>INDEX('Base GDP'!$A$1:$E$76,MATCH(A407,'Base GDP'!$A$1:$A$76,0),5)</f>
        <v>383209.69906191999</v>
      </c>
      <c r="T407" s="335">
        <f t="shared" si="32"/>
        <v>1.8408052460453055E-2</v>
      </c>
      <c r="U407" s="335">
        <f t="shared" si="33"/>
        <v>1.8808431355192244E-2</v>
      </c>
      <c r="V407" s="335">
        <f t="shared" si="34"/>
        <v>4.0037889473918883E-4</v>
      </c>
    </row>
    <row r="408" spans="1:22" x14ac:dyDescent="0.45">
      <c r="A408" s="293" t="s">
        <v>150</v>
      </c>
      <c r="B408" s="297" t="s">
        <v>0</v>
      </c>
      <c r="C408" s="293" t="str">
        <f t="shared" si="30"/>
        <v>PhilippinesManufacture of food products (C10)</v>
      </c>
      <c r="D408" s="297" t="s">
        <v>958</v>
      </c>
      <c r="E408" s="298">
        <v>4280.6274469299997</v>
      </c>
      <c r="F408" s="298">
        <v>7169.8593927499996</v>
      </c>
      <c r="G408" s="302">
        <v>0.67495524467846701</v>
      </c>
      <c r="H408" s="303">
        <v>56102.040379600003</v>
      </c>
      <c r="I408" s="298">
        <v>4758.2275911699999</v>
      </c>
      <c r="J408" s="298">
        <v>7169.8593927499996</v>
      </c>
      <c r="K408" s="302">
        <v>0.5068340585589779</v>
      </c>
      <c r="L408" s="298">
        <v>9077.2200399899993</v>
      </c>
      <c r="M408" s="298">
        <v>11003.98563625</v>
      </c>
      <c r="N408" s="298">
        <v>12517.612692999999</v>
      </c>
      <c r="O408" s="306">
        <v>16302.66846123</v>
      </c>
      <c r="P408" s="306" cm="1">
        <f t="array" ref="P408">INDEX($E$302:$E$676, MATCH($B408, $B$302:$B$676, 0) * MATCH("Brazil", $A$302:$A$676, 0))</f>
        <v>184399.03464741001</v>
      </c>
      <c r="Q408" s="306">
        <f t="shared" si="31"/>
        <v>180118.40720048</v>
      </c>
      <c r="R408" s="336">
        <f>INDEX('Base GDP'!$A$1:$E$76,MATCH(A408,'Base GDP'!$A$1:$A$76,0),4)</f>
        <v>291518.00825125998</v>
      </c>
      <c r="S408" s="336">
        <f>INDEX('Base GDP'!$A$1:$E$76,MATCH(A408,'Base GDP'!$A$1:$A$76,0),5)</f>
        <v>360513.15606205998</v>
      </c>
      <c r="T408" s="335">
        <f t="shared" si="32"/>
        <v>1.632224238808902E-2</v>
      </c>
      <c r="U408" s="335">
        <f t="shared" si="33"/>
        <v>1.988792717322015E-2</v>
      </c>
      <c r="V408" s="335">
        <f t="shared" si="34"/>
        <v>3.5656847851311298E-3</v>
      </c>
    </row>
    <row r="409" spans="1:22" x14ac:dyDescent="0.45">
      <c r="A409" s="293" t="s">
        <v>147</v>
      </c>
      <c r="B409" s="297" t="s">
        <v>0</v>
      </c>
      <c r="C409" s="293" t="str">
        <f t="shared" si="30"/>
        <v>PeruManufacture of food products (C10)</v>
      </c>
      <c r="D409" s="297" t="s">
        <v>958</v>
      </c>
      <c r="E409" s="298">
        <v>5462.1147952600004</v>
      </c>
      <c r="F409" s="298">
        <v>6800.0728830799999</v>
      </c>
      <c r="G409" s="302">
        <v>0.24495239261193746</v>
      </c>
      <c r="H409" s="303">
        <v>54920.553031269999</v>
      </c>
      <c r="I409" s="298">
        <v>5950.8417699299998</v>
      </c>
      <c r="J409" s="298">
        <v>6800.0728830799999</v>
      </c>
      <c r="K409" s="302">
        <v>0.14270772875212745</v>
      </c>
      <c r="L409" s="298">
        <v>6628.3568677000003</v>
      </c>
      <c r="M409" s="298">
        <v>7587.0713111599998</v>
      </c>
      <c r="N409" s="298">
        <v>8461.4941653999995</v>
      </c>
      <c r="O409" s="306">
        <v>10970.052642299999</v>
      </c>
      <c r="P409" s="306" cm="1">
        <f t="array" ref="P409">INDEX($E$302:$E$676, MATCH($B409, $B$302:$B$676, 0) * MATCH("Brazil", $A$302:$A$676, 0))</f>
        <v>184399.03464741001</v>
      </c>
      <c r="Q409" s="306">
        <f t="shared" si="31"/>
        <v>178936.91985215002</v>
      </c>
      <c r="R409" s="336">
        <f>INDEX('Base GDP'!$A$1:$E$76,MATCH(A409,'Base GDP'!$A$1:$A$76,0),4)</f>
        <v>205342.67167914001</v>
      </c>
      <c r="S409" s="336">
        <f>INDEX('Base GDP'!$A$1:$E$76,MATCH(A409,'Base GDP'!$A$1:$A$76,0),5)</f>
        <v>235110.76142220001</v>
      </c>
      <c r="T409" s="335">
        <f t="shared" si="32"/>
        <v>2.8980054273514761E-2</v>
      </c>
      <c r="U409" s="335">
        <f t="shared" si="33"/>
        <v>2.8922848286254209E-2</v>
      </c>
      <c r="V409" s="335">
        <f t="shared" si="34"/>
        <v>-5.7205987260552232E-5</v>
      </c>
    </row>
    <row r="410" spans="1:22" x14ac:dyDescent="0.45">
      <c r="A410" s="293" t="s">
        <v>163</v>
      </c>
      <c r="B410" s="297" t="s">
        <v>0</v>
      </c>
      <c r="C410" s="293" t="str">
        <f t="shared" si="30"/>
        <v>New ZealandManufacture of food products (C10)</v>
      </c>
      <c r="D410" s="297" t="s">
        <v>958</v>
      </c>
      <c r="E410" s="298">
        <v>5084.1947861299996</v>
      </c>
      <c r="F410" s="298">
        <v>6119.1127380500002</v>
      </c>
      <c r="G410" s="302">
        <v>0.20355592093822228</v>
      </c>
      <c r="H410" s="303">
        <v>55298.4730404</v>
      </c>
      <c r="I410" s="298">
        <v>5575.3076677999998</v>
      </c>
      <c r="J410" s="298">
        <v>6119.1127380500002</v>
      </c>
      <c r="K410" s="302">
        <v>9.7538127517289963E-2</v>
      </c>
      <c r="L410" s="298">
        <v>6190.5853417799999</v>
      </c>
      <c r="M410" s="298">
        <v>6812.5900694399998</v>
      </c>
      <c r="N410" s="298">
        <v>7314.6526825999999</v>
      </c>
      <c r="O410" s="306">
        <v>8371.2105859799995</v>
      </c>
      <c r="P410" s="306" cm="1">
        <f t="array" ref="P410">INDEX($E$302:$E$676, MATCH($B410, $B$302:$B$676, 0) * MATCH("Brazil", $A$302:$A$676, 0))</f>
        <v>184399.03464741001</v>
      </c>
      <c r="Q410" s="306">
        <f t="shared" si="31"/>
        <v>179314.83986127999</v>
      </c>
      <c r="R410" s="336">
        <f>INDEX('Base GDP'!$A$1:$E$76,MATCH(A410,'Base GDP'!$A$1:$A$76,0),4)</f>
        <v>180884.85070677</v>
      </c>
      <c r="S410" s="336">
        <f>INDEX('Base GDP'!$A$1:$E$76,MATCH(A410,'Base GDP'!$A$1:$A$76,0),5)</f>
        <v>220909.49174857</v>
      </c>
      <c r="T410" s="335">
        <f t="shared" si="32"/>
        <v>3.0822413518963268E-2</v>
      </c>
      <c r="U410" s="335">
        <f t="shared" si="33"/>
        <v>2.7699637030601292E-2</v>
      </c>
      <c r="V410" s="335">
        <f t="shared" si="34"/>
        <v>-3.1227764883619766E-3</v>
      </c>
    </row>
    <row r="411" spans="1:22" x14ac:dyDescent="0.45">
      <c r="A411" s="293" t="s">
        <v>154</v>
      </c>
      <c r="B411" s="297" t="s">
        <v>0</v>
      </c>
      <c r="C411" s="293" t="str">
        <f t="shared" si="30"/>
        <v>PakistanManufacture of food products (C10)</v>
      </c>
      <c r="D411" s="297" t="s">
        <v>958</v>
      </c>
      <c r="E411" s="298">
        <v>3575.86774371</v>
      </c>
      <c r="F411" s="298">
        <v>6016.5561872500002</v>
      </c>
      <c r="G411" s="302">
        <v>0.68254438320130939</v>
      </c>
      <c r="H411" s="303">
        <v>56806.800082820002</v>
      </c>
      <c r="I411" s="298">
        <v>4780.4382053999998</v>
      </c>
      <c r="J411" s="298">
        <v>6016.5561872500002</v>
      </c>
      <c r="K411" s="302">
        <v>0.25857838313936932</v>
      </c>
      <c r="L411" s="298">
        <v>7497.7378784700004</v>
      </c>
      <c r="M411" s="298">
        <v>9468.1413463000008</v>
      </c>
      <c r="N411" s="298">
        <v>11097.91829921</v>
      </c>
      <c r="O411" s="306">
        <v>16335.40202499</v>
      </c>
      <c r="P411" s="306" cm="1">
        <f t="array" ref="P411">INDEX($E$302:$E$676, MATCH($B411, $B$302:$B$676, 0) * MATCH("Brazil", $A$302:$A$676, 0))</f>
        <v>184399.03464741001</v>
      </c>
      <c r="Q411" s="306">
        <f t="shared" si="31"/>
        <v>180823.16690370001</v>
      </c>
      <c r="R411" s="336">
        <f>INDEX('Base GDP'!$A$1:$E$76,MATCH(A411,'Base GDP'!$A$1:$A$76,0),4)</f>
        <v>243681.57424943999</v>
      </c>
      <c r="S411" s="336">
        <f>INDEX('Base GDP'!$A$1:$E$76,MATCH(A411,'Base GDP'!$A$1:$A$76,0),5)</f>
        <v>307178.14587732003</v>
      </c>
      <c r="T411" s="335">
        <f t="shared" si="32"/>
        <v>1.9617561237956365E-2</v>
      </c>
      <c r="U411" s="335">
        <f t="shared" si="33"/>
        <v>1.9586537219522367E-2</v>
      </c>
      <c r="V411" s="335">
        <f t="shared" si="34"/>
        <v>-3.1024018433998407E-5</v>
      </c>
    </row>
    <row r="412" spans="1:22" x14ac:dyDescent="0.45">
      <c r="A412" s="293" t="s">
        <v>73</v>
      </c>
      <c r="B412" s="297" t="s">
        <v>0</v>
      </c>
      <c r="C412" s="293" t="str">
        <f t="shared" si="30"/>
        <v>TaiwanManufacture of food products (C10)</v>
      </c>
      <c r="D412" s="297" t="s">
        <v>958</v>
      </c>
      <c r="E412" s="298">
        <v>4210.2312355499998</v>
      </c>
      <c r="F412" s="298">
        <v>5963.2609979999997</v>
      </c>
      <c r="G412" s="302">
        <v>0.41637374870242594</v>
      </c>
      <c r="H412" s="303">
        <v>56172.436590979996</v>
      </c>
      <c r="I412" s="298">
        <v>4709.35455258</v>
      </c>
      <c r="J412" s="298">
        <v>5963.2609979999997</v>
      </c>
      <c r="K412" s="302">
        <v>0.26625866271484111</v>
      </c>
      <c r="L412" s="298">
        <v>6471.5311528599996</v>
      </c>
      <c r="M412" s="298">
        <v>6926.46460278</v>
      </c>
      <c r="N412" s="298">
        <v>7265.2090606100001</v>
      </c>
      <c r="O412" s="306">
        <v>8235.9564328300003</v>
      </c>
      <c r="P412" s="306" cm="1">
        <f t="array" ref="P412">INDEX($E$302:$E$676, MATCH($B412, $B$302:$B$676, 0) * MATCH("Brazil", $A$302:$A$676, 0))</f>
        <v>184399.03464741001</v>
      </c>
      <c r="Q412" s="306">
        <f t="shared" si="31"/>
        <v>180188.80341186002</v>
      </c>
      <c r="R412" s="336">
        <f>INDEX('Base GDP'!$A$1:$E$76,MATCH(A412,'Base GDP'!$A$1:$A$76,0),4)</f>
        <v>546880.06131035998</v>
      </c>
      <c r="S412" s="336">
        <f>INDEX('Base GDP'!$A$1:$E$76,MATCH(A412,'Base GDP'!$A$1:$A$76,0),5)</f>
        <v>674049.24440882006</v>
      </c>
      <c r="T412" s="335">
        <f t="shared" si="32"/>
        <v>8.611311484452518E-3</v>
      </c>
      <c r="U412" s="335">
        <f t="shared" si="33"/>
        <v>8.8469218643366671E-3</v>
      </c>
      <c r="V412" s="335">
        <f t="shared" si="34"/>
        <v>2.3561037988414912E-4</v>
      </c>
    </row>
    <row r="413" spans="1:22" x14ac:dyDescent="0.45">
      <c r="A413" s="293" t="s">
        <v>72</v>
      </c>
      <c r="B413" s="297" t="s">
        <v>0</v>
      </c>
      <c r="C413" s="293" t="str">
        <f t="shared" si="30"/>
        <v>AustriaManufacture of food products (C10)</v>
      </c>
      <c r="D413" s="297" t="s">
        <v>958</v>
      </c>
      <c r="E413" s="298">
        <v>4193.8946867200002</v>
      </c>
      <c r="F413" s="298">
        <v>5376.7784507300003</v>
      </c>
      <c r="G413" s="302">
        <v>0.28204899082363966</v>
      </c>
      <c r="H413" s="303">
        <v>56188.77313981</v>
      </c>
      <c r="I413" s="298">
        <v>4508.0151672600005</v>
      </c>
      <c r="J413" s="298">
        <v>5376.7784507300003</v>
      </c>
      <c r="K413" s="302">
        <v>0.19271525299637338</v>
      </c>
      <c r="L413" s="298">
        <v>6187.56361044</v>
      </c>
      <c r="M413" s="298">
        <v>6690.7946148399997</v>
      </c>
      <c r="N413" s="298">
        <v>7065.2497263300002</v>
      </c>
      <c r="O413" s="306">
        <v>8005.3295769400002</v>
      </c>
      <c r="P413" s="306" cm="1">
        <f t="array" ref="P413">INDEX($E$302:$E$676, MATCH($B413, $B$302:$B$676, 0) * MATCH("Brazil", $A$302:$A$676, 0))</f>
        <v>184399.03464741001</v>
      </c>
      <c r="Q413" s="306">
        <f t="shared" si="31"/>
        <v>180205.13996068999</v>
      </c>
      <c r="R413" s="336">
        <f>INDEX('Base GDP'!$A$1:$E$76,MATCH(A413,'Base GDP'!$A$1:$A$76,0),4)</f>
        <v>410010.85265116999</v>
      </c>
      <c r="S413" s="336">
        <f>INDEX('Base GDP'!$A$1:$E$76,MATCH(A413,'Base GDP'!$A$1:$A$76,0),5)</f>
        <v>432694.04992214998</v>
      </c>
      <c r="T413" s="335">
        <f t="shared" si="32"/>
        <v>1.0994867911692427E-2</v>
      </c>
      <c r="U413" s="335">
        <f t="shared" si="33"/>
        <v>1.2426282385203555E-2</v>
      </c>
      <c r="V413" s="335">
        <f t="shared" si="34"/>
        <v>1.4314144735111285E-3</v>
      </c>
    </row>
    <row r="414" spans="1:22" x14ac:dyDescent="0.45">
      <c r="A414" s="293" t="s">
        <v>146</v>
      </c>
      <c r="B414" s="297" t="s">
        <v>0</v>
      </c>
      <c r="C414" s="293" t="str">
        <f t="shared" si="30"/>
        <v>EgyptManufacture of food products (C10)</v>
      </c>
      <c r="D414" s="297" t="s">
        <v>958</v>
      </c>
      <c r="E414" s="298">
        <v>4541.1702677200001</v>
      </c>
      <c r="F414" s="298">
        <v>5200.1093019700002</v>
      </c>
      <c r="G414" s="302">
        <v>0.14510335340956848</v>
      </c>
      <c r="H414" s="303">
        <v>55841.497558809999</v>
      </c>
      <c r="I414" s="298">
        <v>4860.6512797900004</v>
      </c>
      <c r="J414" s="298">
        <v>5200.1093019700002</v>
      </c>
      <c r="K414" s="302">
        <v>6.9837970806797989E-2</v>
      </c>
      <c r="L414" s="298">
        <v>5111.9716782699998</v>
      </c>
      <c r="M414" s="298">
        <v>5781.5764956900002</v>
      </c>
      <c r="N414" s="298">
        <v>6317.2877136799998</v>
      </c>
      <c r="O414" s="306">
        <v>7893.7115801800001</v>
      </c>
      <c r="P414" s="306" cm="1">
        <f t="array" ref="P414">INDEX($E$302:$E$676, MATCH($B414, $B$302:$B$676, 0) * MATCH("Brazil", $A$302:$A$676, 0))</f>
        <v>184399.03464741001</v>
      </c>
      <c r="Q414" s="306">
        <f t="shared" si="31"/>
        <v>179857.86437969</v>
      </c>
      <c r="R414" s="336">
        <f>INDEX('Base GDP'!$A$1:$E$76,MATCH(A414,'Base GDP'!$A$1:$A$76,0),4)</f>
        <v>276522.47435759002</v>
      </c>
      <c r="S414" s="336">
        <f>INDEX('Base GDP'!$A$1:$E$76,MATCH(A414,'Base GDP'!$A$1:$A$76,0),5)</f>
        <v>357883.01385108999</v>
      </c>
      <c r="T414" s="335">
        <f t="shared" si="32"/>
        <v>1.7577780218704254E-2</v>
      </c>
      <c r="U414" s="335">
        <f t="shared" si="33"/>
        <v>1.4530193109790037E-2</v>
      </c>
      <c r="V414" s="335">
        <f t="shared" si="34"/>
        <v>-3.0475871089142171E-3</v>
      </c>
    </row>
    <row r="415" spans="1:22" x14ac:dyDescent="0.45">
      <c r="A415" s="293" t="s">
        <v>151</v>
      </c>
      <c r="B415" s="297" t="s">
        <v>0</v>
      </c>
      <c r="C415" s="293" t="str">
        <f t="shared" si="30"/>
        <v>NorwayManufacture of food products (C10)</v>
      </c>
      <c r="D415" s="297" t="s">
        <v>958</v>
      </c>
      <c r="E415" s="298">
        <v>3942.3586186699999</v>
      </c>
      <c r="F415" s="298">
        <v>4810.4021478300001</v>
      </c>
      <c r="G415" s="302">
        <v>0.22018380698528239</v>
      </c>
      <c r="H415" s="303">
        <v>56440.309207860002</v>
      </c>
      <c r="I415" s="298">
        <v>4310.6512368200001</v>
      </c>
      <c r="J415" s="298">
        <v>4810.4021478300001</v>
      </c>
      <c r="K415" s="302">
        <v>0.11593396996289362</v>
      </c>
      <c r="L415" s="298">
        <v>4698.2652186100004</v>
      </c>
      <c r="M415" s="298">
        <v>4841.9347557000001</v>
      </c>
      <c r="N415" s="298">
        <v>4974.2654206400002</v>
      </c>
      <c r="O415" s="306">
        <v>5374.01621901</v>
      </c>
      <c r="P415" s="306" cm="1">
        <f t="array" ref="P415">INDEX($E$302:$E$676, MATCH($B415, $B$302:$B$676, 0) * MATCH("Brazil", $A$302:$A$676, 0))</f>
        <v>184399.03464741001</v>
      </c>
      <c r="Q415" s="306">
        <f t="shared" si="31"/>
        <v>180456.67602874001</v>
      </c>
      <c r="R415" s="336">
        <f>INDEX('Base GDP'!$A$1:$E$76,MATCH(A415,'Base GDP'!$A$1:$A$76,0),4)</f>
        <v>386512.35690163</v>
      </c>
      <c r="S415" s="336">
        <f>INDEX('Base GDP'!$A$1:$E$76,MATCH(A415,'Base GDP'!$A$1:$A$76,0),5)</f>
        <v>418559.21595058002</v>
      </c>
      <c r="T415" s="335">
        <f t="shared" si="32"/>
        <v>1.115268673781907E-2</v>
      </c>
      <c r="U415" s="335">
        <f t="shared" si="33"/>
        <v>1.1492763662855227E-2</v>
      </c>
      <c r="V415" s="335">
        <f t="shared" si="34"/>
        <v>3.4007692503615697E-4</v>
      </c>
    </row>
    <row r="416" spans="1:22" x14ac:dyDescent="0.45">
      <c r="A416" s="293" t="s">
        <v>116</v>
      </c>
      <c r="B416" s="297" t="s">
        <v>0</v>
      </c>
      <c r="C416" s="293" t="str">
        <f t="shared" si="30"/>
        <v>DenmarkManufacture of food products (C10)</v>
      </c>
      <c r="D416" s="297" t="s">
        <v>958</v>
      </c>
      <c r="E416" s="298">
        <v>4280.1176687999996</v>
      </c>
      <c r="F416" s="298">
        <v>4792.7469668599997</v>
      </c>
      <c r="G416" s="302">
        <v>0.11976990768193629</v>
      </c>
      <c r="H416" s="303">
        <v>56102.550157730002</v>
      </c>
      <c r="I416" s="298">
        <v>4116.42025448</v>
      </c>
      <c r="J416" s="298">
        <v>4792.7469668599997</v>
      </c>
      <c r="K416" s="302">
        <v>0.1642997241702755</v>
      </c>
      <c r="L416" s="298">
        <v>4737.9127987800002</v>
      </c>
      <c r="M416" s="298">
        <v>4882.8956036500003</v>
      </c>
      <c r="N416" s="298">
        <v>5014.17827846</v>
      </c>
      <c r="O416" s="306">
        <v>5391.1404008400004</v>
      </c>
      <c r="P416" s="306" cm="1">
        <f t="array" ref="P416">INDEX($E$302:$E$676, MATCH($B416, $B$302:$B$676, 0) * MATCH("Brazil", $A$302:$A$676, 0))</f>
        <v>184399.03464741001</v>
      </c>
      <c r="Q416" s="306">
        <f t="shared" si="31"/>
        <v>180118.91697861001</v>
      </c>
      <c r="R416" s="336">
        <f>INDEX('Base GDP'!$A$1:$E$76,MATCH(A416,'Base GDP'!$A$1:$A$76,0),4)</f>
        <v>315318.76572541997</v>
      </c>
      <c r="S416" s="336">
        <f>INDEX('Base GDP'!$A$1:$E$76,MATCH(A416,'Base GDP'!$A$1:$A$76,0),5)</f>
        <v>361238.79673869</v>
      </c>
      <c r="T416" s="335">
        <f t="shared" si="32"/>
        <v>1.3054789952034077E-2</v>
      </c>
      <c r="U416" s="335">
        <f t="shared" si="33"/>
        <v>1.3267531090595837E-2</v>
      </c>
      <c r="V416" s="335">
        <f t="shared" si="34"/>
        <v>2.1274113856175995E-4</v>
      </c>
    </row>
    <row r="417" spans="1:22" x14ac:dyDescent="0.45">
      <c r="A417" s="293" t="s">
        <v>123</v>
      </c>
      <c r="B417" s="297" t="s">
        <v>0</v>
      </c>
      <c r="C417" s="293" t="str">
        <f t="shared" si="30"/>
        <v>IsraelManufacture of food products (C10)</v>
      </c>
      <c r="D417" s="297" t="s">
        <v>958</v>
      </c>
      <c r="E417" s="298">
        <v>3687.1326467899999</v>
      </c>
      <c r="F417" s="298">
        <v>4536.3620226499997</v>
      </c>
      <c r="G417" s="302">
        <v>0.23032243675836694</v>
      </c>
      <c r="H417" s="303">
        <v>56695.53517974</v>
      </c>
      <c r="I417" s="298">
        <v>3811.4336684599998</v>
      </c>
      <c r="J417" s="298">
        <v>4536.3620226499997</v>
      </c>
      <c r="K417" s="302">
        <v>0.19019833932539765</v>
      </c>
      <c r="L417" s="298">
        <v>5087.4871345199999</v>
      </c>
      <c r="M417" s="298">
        <v>5618.3612687599998</v>
      </c>
      <c r="N417" s="298">
        <v>6060.4265518499997</v>
      </c>
      <c r="O417" s="306">
        <v>7307.0013284200004</v>
      </c>
      <c r="P417" s="306" cm="1">
        <f t="array" ref="P417">INDEX($E$302:$E$676, MATCH($B417, $B$302:$B$676, 0) * MATCH("Brazil", $A$302:$A$676, 0))</f>
        <v>184399.03464741001</v>
      </c>
      <c r="Q417" s="306">
        <f t="shared" si="31"/>
        <v>180711.90200062</v>
      </c>
      <c r="R417" s="336">
        <f>INDEX('Base GDP'!$A$1:$E$76,MATCH(A417,'Base GDP'!$A$1:$A$76,0),4)</f>
        <v>339252.33917334001</v>
      </c>
      <c r="S417" s="336">
        <f>INDEX('Base GDP'!$A$1:$E$76,MATCH(A417,'Base GDP'!$A$1:$A$76,0),5)</f>
        <v>430314.68651226</v>
      </c>
      <c r="T417" s="335">
        <f t="shared" si="32"/>
        <v>1.1234804387045239E-2</v>
      </c>
      <c r="U417" s="335">
        <f t="shared" si="33"/>
        <v>1.0541964206282686E-2</v>
      </c>
      <c r="V417" s="335">
        <f t="shared" si="34"/>
        <v>-6.9284018076255262E-4</v>
      </c>
    </row>
    <row r="418" spans="1:22" x14ac:dyDescent="0.45">
      <c r="A418" s="293" t="s">
        <v>156</v>
      </c>
      <c r="B418" s="297" t="s">
        <v>0</v>
      </c>
      <c r="C418" s="293" t="str">
        <f t="shared" si="30"/>
        <v>GreeceManufacture of food products (C10)</v>
      </c>
      <c r="D418" s="297" t="s">
        <v>958</v>
      </c>
      <c r="E418" s="298">
        <v>5319.9334146900001</v>
      </c>
      <c r="F418" s="298">
        <v>4527.5497196599999</v>
      </c>
      <c r="G418" s="302">
        <v>-0.14894616779262326</v>
      </c>
      <c r="H418" s="303">
        <v>55062.73441184</v>
      </c>
      <c r="I418" s="298">
        <v>4357.2736942499996</v>
      </c>
      <c r="J418" s="298">
        <v>4527.5497196599999</v>
      </c>
      <c r="K418" s="302">
        <v>3.9078570078051822E-2</v>
      </c>
      <c r="L418" s="298">
        <v>5236.4354166700004</v>
      </c>
      <c r="M418" s="298">
        <v>5248.9870290199997</v>
      </c>
      <c r="N418" s="298">
        <v>5289.8780694999996</v>
      </c>
      <c r="O418" s="306">
        <v>5478.17444454</v>
      </c>
      <c r="P418" s="306" cm="1">
        <f t="array" ref="P418">INDEX($E$302:$E$676, MATCH($B418, $B$302:$B$676, 0) * MATCH("Brazil", $A$302:$A$676, 0))</f>
        <v>184399.03464741001</v>
      </c>
      <c r="Q418" s="306">
        <f t="shared" si="31"/>
        <v>179079.10123272002</v>
      </c>
      <c r="R418" s="336">
        <f>INDEX('Base GDP'!$A$1:$E$76,MATCH(A418,'Base GDP'!$A$1:$A$76,0),4)</f>
        <v>196841.83448053</v>
      </c>
      <c r="S418" s="336">
        <f>INDEX('Base GDP'!$A$1:$E$76,MATCH(A418,'Base GDP'!$A$1:$A$76,0),5)</f>
        <v>201121.93838619001</v>
      </c>
      <c r="T418" s="335">
        <f t="shared" si="32"/>
        <v>2.2135912854850913E-2</v>
      </c>
      <c r="U418" s="335">
        <f t="shared" si="33"/>
        <v>2.2511466207959355E-2</v>
      </c>
      <c r="V418" s="335">
        <f t="shared" si="34"/>
        <v>3.7555335310844248E-4</v>
      </c>
    </row>
    <row r="419" spans="1:22" x14ac:dyDescent="0.45">
      <c r="A419" s="293" t="s">
        <v>149</v>
      </c>
      <c r="B419" s="297" t="s">
        <v>0</v>
      </c>
      <c r="C419" s="293" t="str">
        <f t="shared" si="30"/>
        <v>UkraineManufacture of food products (C10)</v>
      </c>
      <c r="D419" s="297" t="s">
        <v>958</v>
      </c>
      <c r="E419" s="298">
        <v>4806.17061964</v>
      </c>
      <c r="F419" s="298">
        <v>4229.69325123</v>
      </c>
      <c r="G419" s="302">
        <v>-0.1199452566361825</v>
      </c>
      <c r="H419" s="303">
        <v>55576.497206890002</v>
      </c>
      <c r="I419" s="298">
        <v>4001.4698188799998</v>
      </c>
      <c r="J419" s="298">
        <v>4229.69325123</v>
      </c>
      <c r="K419" s="302">
        <v>5.7034900344163919E-2</v>
      </c>
      <c r="L419" s="298">
        <v>3037.1575880199998</v>
      </c>
      <c r="M419" s="298">
        <v>3118.9030955799999</v>
      </c>
      <c r="N419" s="298">
        <v>3688.5150223800001</v>
      </c>
      <c r="O419" s="306">
        <v>5504.6037242900002</v>
      </c>
      <c r="P419" s="306" cm="1">
        <f t="array" ref="P419">INDEX($E$302:$E$676, MATCH($B419, $B$302:$B$676, 0) * MATCH("Brazil", $A$302:$A$676, 0))</f>
        <v>184399.03464741001</v>
      </c>
      <c r="Q419" s="306">
        <f t="shared" si="31"/>
        <v>179592.86402777</v>
      </c>
      <c r="R419" s="336">
        <f>INDEX('Base GDP'!$A$1:$E$76,MATCH(A419,'Base GDP'!$A$1:$A$76,0),4)</f>
        <v>137743.94890503999</v>
      </c>
      <c r="S419" s="336">
        <f>INDEX('Base GDP'!$A$1:$E$76,MATCH(A419,'Base GDP'!$A$1:$A$76,0),5)</f>
        <v>153275.23415388001</v>
      </c>
      <c r="T419" s="335">
        <f t="shared" si="32"/>
        <v>2.9050058827909703E-2</v>
      </c>
      <c r="U419" s="335">
        <f t="shared" si="33"/>
        <v>2.7595412100193679E-2</v>
      </c>
      <c r="V419" s="335">
        <f t="shared" si="34"/>
        <v>-1.4546467277160233E-3</v>
      </c>
    </row>
    <row r="420" spans="1:22" x14ac:dyDescent="0.45">
      <c r="A420" s="293" t="s">
        <v>124</v>
      </c>
      <c r="B420" s="297" t="s">
        <v>0</v>
      </c>
      <c r="C420" s="293" t="str">
        <f t="shared" si="30"/>
        <v>BangladeshManufacture of food products (C10)</v>
      </c>
      <c r="D420" s="297" t="s">
        <v>958</v>
      </c>
      <c r="E420" s="298">
        <v>1267.4102103800001</v>
      </c>
      <c r="F420" s="298">
        <v>4168.0855746899997</v>
      </c>
      <c r="G420" s="302">
        <v>2.2886634023883294</v>
      </c>
      <c r="H420" s="303">
        <v>59115.257616149996</v>
      </c>
      <c r="I420" s="298">
        <v>2503.4972333000001</v>
      </c>
      <c r="J420" s="298">
        <v>4168.0855746899997</v>
      </c>
      <c r="K420" s="302">
        <v>0.6649052051061437</v>
      </c>
      <c r="L420" s="298">
        <v>4562.3776190999997</v>
      </c>
      <c r="M420" s="298">
        <v>6183.7872184999997</v>
      </c>
      <c r="N420" s="298">
        <v>7603.4665999099998</v>
      </c>
      <c r="O420" s="306">
        <v>11917.58010427</v>
      </c>
      <c r="P420" s="306" cm="1">
        <f t="array" ref="P420">INDEX($E$302:$E$676, MATCH($B420, $B$302:$B$676, 0) * MATCH("Brazil", $A$302:$A$676, 0))</f>
        <v>184399.03464741001</v>
      </c>
      <c r="Q420" s="306">
        <f t="shared" si="31"/>
        <v>183131.62443703</v>
      </c>
      <c r="R420" s="336">
        <f>INDEX('Base GDP'!$A$1:$E$76,MATCH(A420,'Base GDP'!$A$1:$A$76,0),4)</f>
        <v>264392.25455249997</v>
      </c>
      <c r="S420" s="336">
        <f>INDEX('Base GDP'!$A$1:$E$76,MATCH(A420,'Base GDP'!$A$1:$A$76,0),5)</f>
        <v>386628.84638325998</v>
      </c>
      <c r="T420" s="335">
        <f t="shared" si="32"/>
        <v>9.4688750906766241E-3</v>
      </c>
      <c r="U420" s="335">
        <f t="shared" si="33"/>
        <v>1.0780586119428431E-2</v>
      </c>
      <c r="V420" s="335">
        <f t="shared" si="34"/>
        <v>1.3117110287518066E-3</v>
      </c>
    </row>
    <row r="421" spans="1:22" x14ac:dyDescent="0.45">
      <c r="A421" s="293" t="s">
        <v>107</v>
      </c>
      <c r="B421" s="297" t="s">
        <v>0</v>
      </c>
      <c r="C421" s="293" t="str">
        <f t="shared" si="30"/>
        <v>IranManufacture of food products (C10)</v>
      </c>
      <c r="D421" s="297" t="s">
        <v>958</v>
      </c>
      <c r="E421" s="298">
        <v>4560.0105129499998</v>
      </c>
      <c r="F421" s="298">
        <v>4016.2383550999998</v>
      </c>
      <c r="G421" s="302">
        <v>-0.11924800530738655</v>
      </c>
      <c r="H421" s="303">
        <v>55822.657313579999</v>
      </c>
      <c r="I421" s="298">
        <v>4428.4992084799997</v>
      </c>
      <c r="J421" s="298">
        <v>4016.2383550999998</v>
      </c>
      <c r="K421" s="302">
        <v>-9.309267857394532E-2</v>
      </c>
      <c r="L421" s="298">
        <v>4458.4734329800003</v>
      </c>
      <c r="M421" s="298">
        <v>4636.53130246</v>
      </c>
      <c r="N421" s="298">
        <v>4597.0464109200002</v>
      </c>
      <c r="O421" s="306">
        <v>4504.0575461099997</v>
      </c>
      <c r="P421" s="306" cm="1">
        <f t="array" ref="P421">INDEX($E$302:$E$676, MATCH($B421, $B$302:$B$676, 0) * MATCH("Brazil", $A$302:$A$676, 0))</f>
        <v>184399.03464741001</v>
      </c>
      <c r="Q421" s="306">
        <f t="shared" si="31"/>
        <v>179839.02413446002</v>
      </c>
      <c r="R421" s="336">
        <f>INDEX('Base GDP'!$A$1:$E$76,MATCH(A421,'Base GDP'!$A$1:$A$76,0),4)</f>
        <v>195024.47923529</v>
      </c>
      <c r="S421" s="336">
        <f>INDEX('Base GDP'!$A$1:$E$76,MATCH(A421,'Base GDP'!$A$1:$A$76,0),5)</f>
        <v>224406.94908081999</v>
      </c>
      <c r="T421" s="335">
        <f t="shared" si="32"/>
        <v>2.2707401787942606E-2</v>
      </c>
      <c r="U421" s="335">
        <f t="shared" si="33"/>
        <v>1.7897121152222226E-2</v>
      </c>
      <c r="V421" s="335">
        <f t="shared" si="34"/>
        <v>-4.8102806357203792E-3</v>
      </c>
    </row>
    <row r="422" spans="1:22" x14ac:dyDescent="0.45">
      <c r="A422" s="293" t="s">
        <v>74</v>
      </c>
      <c r="B422" s="297" t="s">
        <v>0</v>
      </c>
      <c r="C422" s="293" t="str">
        <f t="shared" si="30"/>
        <v>SwedenManufacture of food products (C10)</v>
      </c>
      <c r="D422" s="297" t="s">
        <v>958</v>
      </c>
      <c r="E422" s="298">
        <v>4518.3228842999997</v>
      </c>
      <c r="F422" s="298">
        <v>3649.0134911300001</v>
      </c>
      <c r="G422" s="302">
        <v>-0.19239647440660435</v>
      </c>
      <c r="H422" s="303">
        <v>55864.344942230004</v>
      </c>
      <c r="I422" s="298">
        <v>3748.5039514700002</v>
      </c>
      <c r="J422" s="298">
        <v>3649.0134911300001</v>
      </c>
      <c r="K422" s="302">
        <v>-2.6541378007880811E-2</v>
      </c>
      <c r="L422" s="298">
        <v>3831.24397322</v>
      </c>
      <c r="M422" s="298">
        <v>4059.7223763900001</v>
      </c>
      <c r="N422" s="298">
        <v>4181.1270233499999</v>
      </c>
      <c r="O422" s="306">
        <v>4509.7724170900001</v>
      </c>
      <c r="P422" s="306" cm="1">
        <f t="array" ref="P422">INDEX($E$302:$E$676, MATCH($B422, $B$302:$B$676, 0) * MATCH("Brazil", $A$302:$A$676, 0))</f>
        <v>184399.03464741001</v>
      </c>
      <c r="Q422" s="306">
        <f t="shared" si="31"/>
        <v>179880.71176311001</v>
      </c>
      <c r="R422" s="336">
        <f>INDEX('Base GDP'!$A$1:$E$76,MATCH(A422,'Base GDP'!$A$1:$A$76,0),4)</f>
        <v>490179.06760786998</v>
      </c>
      <c r="S422" s="336">
        <f>INDEX('Base GDP'!$A$1:$E$76,MATCH(A422,'Base GDP'!$A$1:$A$76,0),5)</f>
        <v>552840.30345001002</v>
      </c>
      <c r="T422" s="335">
        <f t="shared" si="32"/>
        <v>7.6472134352107875E-3</v>
      </c>
      <c r="U422" s="335">
        <f t="shared" si="33"/>
        <v>6.6004838438121546E-3</v>
      </c>
      <c r="V422" s="335">
        <f t="shared" si="34"/>
        <v>-1.0467295913986329E-3</v>
      </c>
    </row>
    <row r="423" spans="1:22" x14ac:dyDescent="0.45">
      <c r="A423" s="293" t="s">
        <v>158</v>
      </c>
      <c r="B423" s="297" t="s">
        <v>0</v>
      </c>
      <c r="C423" s="293" t="str">
        <f t="shared" si="30"/>
        <v>GhanaManufacture of food products (C10)</v>
      </c>
      <c r="D423" s="297" t="s">
        <v>958</v>
      </c>
      <c r="E423" s="298">
        <v>2255.1638924700001</v>
      </c>
      <c r="F423" s="298">
        <v>3546.79818419</v>
      </c>
      <c r="G423" s="302">
        <v>0.57274519871161966</v>
      </c>
      <c r="H423" s="303">
        <v>58127.503934059998</v>
      </c>
      <c r="I423" s="298">
        <v>2559.4237431000001</v>
      </c>
      <c r="J423" s="298">
        <v>3546.79818419</v>
      </c>
      <c r="K423" s="302">
        <v>0.38577998025996352</v>
      </c>
      <c r="L423" s="298">
        <v>4260.0568729500001</v>
      </c>
      <c r="M423" s="298">
        <v>5219.0908318800002</v>
      </c>
      <c r="N423" s="298">
        <v>6088.2204461399997</v>
      </c>
      <c r="O423" s="306">
        <v>8894.46368024</v>
      </c>
      <c r="P423" s="306" cm="1">
        <f t="array" ref="P423">INDEX($E$302:$E$676, MATCH($B423, $B$302:$B$676, 0) * MATCH("Brazil", $A$302:$A$676, 0))</f>
        <v>184399.03464741001</v>
      </c>
      <c r="Q423" s="306">
        <f t="shared" si="31"/>
        <v>182143.87075494</v>
      </c>
      <c r="R423" s="336">
        <f>INDEX('Base GDP'!$A$1:$E$76,MATCH(A423,'Base GDP'!$A$1:$A$76,0),4)</f>
        <v>54050.698328470004</v>
      </c>
      <c r="S423" s="336">
        <f>INDEX('Base GDP'!$A$1:$E$76,MATCH(A423,'Base GDP'!$A$1:$A$76,0),5)</f>
        <v>72367.878986030002</v>
      </c>
      <c r="T423" s="335">
        <f t="shared" si="32"/>
        <v>4.7352278920545984E-2</v>
      </c>
      <c r="U423" s="335">
        <f t="shared" si="33"/>
        <v>4.9010669289819578E-2</v>
      </c>
      <c r="V423" s="335">
        <f t="shared" si="34"/>
        <v>1.6583903692735935E-3</v>
      </c>
    </row>
    <row r="424" spans="1:22" x14ac:dyDescent="0.45">
      <c r="A424" s="293" t="s">
        <v>175</v>
      </c>
      <c r="B424" s="297" t="s">
        <v>0</v>
      </c>
      <c r="C424" s="293" t="str">
        <f t="shared" si="30"/>
        <v>KenyaManufacture of food products (C10)</v>
      </c>
      <c r="D424" s="297" t="s">
        <v>958</v>
      </c>
      <c r="E424" s="298">
        <v>2436.3507146000002</v>
      </c>
      <c r="F424" s="298">
        <v>3498.6056005400001</v>
      </c>
      <c r="G424" s="302">
        <v>0.43600245218160261</v>
      </c>
      <c r="H424" s="303">
        <v>57946.317111930002</v>
      </c>
      <c r="I424" s="298">
        <v>3006.9675425300002</v>
      </c>
      <c r="J424" s="298">
        <v>3498.6056005400001</v>
      </c>
      <c r="K424" s="302">
        <v>0.16349962247891314</v>
      </c>
      <c r="L424" s="298">
        <v>4170.6760057800002</v>
      </c>
      <c r="M424" s="298">
        <v>5428.8250451900003</v>
      </c>
      <c r="N424" s="298">
        <v>6611.8125977</v>
      </c>
      <c r="O424" s="306">
        <v>10292.44497986</v>
      </c>
      <c r="P424" s="306" cm="1">
        <f t="array" ref="P424">INDEX($E$302:$E$676, MATCH($B424, $B$302:$B$676, 0) * MATCH("Brazil", $A$302:$A$676, 0))</f>
        <v>184399.03464741001</v>
      </c>
      <c r="Q424" s="306">
        <f t="shared" si="31"/>
        <v>181962.68393281</v>
      </c>
      <c r="R424" s="336">
        <f>INDEX('Base GDP'!$A$1:$E$76,MATCH(A424,'Base GDP'!$A$1:$A$76,0),4)</f>
        <v>83525.195225389994</v>
      </c>
      <c r="S424" s="336">
        <f>INDEX('Base GDP'!$A$1:$E$76,MATCH(A424,'Base GDP'!$A$1:$A$76,0),5)</f>
        <v>107697.99713524</v>
      </c>
      <c r="T424" s="335">
        <f t="shared" si="32"/>
        <v>3.6000724504932878E-2</v>
      </c>
      <c r="U424" s="335">
        <f t="shared" si="33"/>
        <v>3.2485335787133376E-2</v>
      </c>
      <c r="V424" s="335">
        <f t="shared" si="34"/>
        <v>-3.5153887177995016E-3</v>
      </c>
    </row>
    <row r="425" spans="1:22" x14ac:dyDescent="0.45">
      <c r="A425" s="293" t="s">
        <v>161</v>
      </c>
      <c r="B425" s="297" t="s">
        <v>0</v>
      </c>
      <c r="C425" s="293" t="str">
        <f t="shared" si="30"/>
        <v>PortugalManufacture of food products (C10)</v>
      </c>
      <c r="D425" s="297" t="s">
        <v>958</v>
      </c>
      <c r="E425" s="298">
        <v>2879.7838642699999</v>
      </c>
      <c r="F425" s="298">
        <v>3335.2328219800002</v>
      </c>
      <c r="G425" s="302">
        <v>0.15815386819852639</v>
      </c>
      <c r="H425" s="303">
        <v>57502.883962259999</v>
      </c>
      <c r="I425" s="298">
        <v>3082.7208929200001</v>
      </c>
      <c r="J425" s="298">
        <v>3335.2328219800002</v>
      </c>
      <c r="K425" s="302">
        <v>8.1912030907480782E-2</v>
      </c>
      <c r="L425" s="298">
        <v>3651.65921523</v>
      </c>
      <c r="M425" s="298">
        <v>3815.5744622500001</v>
      </c>
      <c r="N425" s="298">
        <v>3888.3770906999998</v>
      </c>
      <c r="O425" s="306">
        <v>4174.4358508100004</v>
      </c>
      <c r="P425" s="306" cm="1">
        <f t="array" ref="P425">INDEX($E$302:$E$676, MATCH($B425, $B$302:$B$676, 0) * MATCH("Brazil", $A$302:$A$676, 0))</f>
        <v>184399.03464741001</v>
      </c>
      <c r="Q425" s="306">
        <f t="shared" si="31"/>
        <v>181519.25078314001</v>
      </c>
      <c r="R425" s="336">
        <f>INDEX('Base GDP'!$A$1:$E$76,MATCH(A425,'Base GDP'!$A$1:$A$76,0),4)</f>
        <v>215192.52938671</v>
      </c>
      <c r="S425" s="336">
        <f>INDEX('Base GDP'!$A$1:$E$76,MATCH(A425,'Base GDP'!$A$1:$A$76,0),5)</f>
        <v>232686.90641277001</v>
      </c>
      <c r="T425" s="335">
        <f t="shared" si="32"/>
        <v>1.4325408515368215E-2</v>
      </c>
      <c r="U425" s="335">
        <f t="shared" si="33"/>
        <v>1.4333564674513891E-2</v>
      </c>
      <c r="V425" s="335">
        <f t="shared" si="34"/>
        <v>8.1561591456762866E-6</v>
      </c>
    </row>
    <row r="426" spans="1:22" x14ac:dyDescent="0.45">
      <c r="A426" s="293" t="s">
        <v>111</v>
      </c>
      <c r="B426" s="297" t="s">
        <v>0</v>
      </c>
      <c r="C426" s="293" t="str">
        <f t="shared" si="30"/>
        <v>Czech RepublicManufacture of food products (C10)</v>
      </c>
      <c r="D426" s="297" t="s">
        <v>958</v>
      </c>
      <c r="E426" s="298">
        <v>2370.6521795200001</v>
      </c>
      <c r="F426" s="298">
        <v>3158.49014012</v>
      </c>
      <c r="G426" s="302">
        <v>0.3323296295450302</v>
      </c>
      <c r="H426" s="303">
        <v>58012.015647009997</v>
      </c>
      <c r="I426" s="298">
        <v>2585.8732598800002</v>
      </c>
      <c r="J426" s="298">
        <v>3158.49014012</v>
      </c>
      <c r="K426" s="302">
        <v>0.22144042754306237</v>
      </c>
      <c r="L426" s="298">
        <v>3070.4728419899998</v>
      </c>
      <c r="M426" s="298">
        <v>3117.0738665399999</v>
      </c>
      <c r="N426" s="298">
        <v>3181.5530136299999</v>
      </c>
      <c r="O426" s="306">
        <v>3374.7221951199999</v>
      </c>
      <c r="P426" s="306" cm="1">
        <f t="array" ref="P426">INDEX($E$302:$E$676, MATCH($B426, $B$302:$B$676, 0) * MATCH("Brazil", $A$302:$A$676, 0))</f>
        <v>184399.03464741001</v>
      </c>
      <c r="Q426" s="306">
        <f t="shared" si="31"/>
        <v>182028.38246789001</v>
      </c>
      <c r="R426" s="336">
        <f>INDEX('Base GDP'!$A$1:$E$76,MATCH(A426,'Base GDP'!$A$1:$A$76,0),4)</f>
        <v>220291.04889604999</v>
      </c>
      <c r="S426" s="336">
        <f>INDEX('Base GDP'!$A$1:$E$76,MATCH(A426,'Base GDP'!$A$1:$A$76,0),5)</f>
        <v>247058.51905223</v>
      </c>
      <c r="T426" s="335">
        <f t="shared" si="32"/>
        <v>1.1738439999440064E-2</v>
      </c>
      <c r="U426" s="335">
        <f t="shared" si="33"/>
        <v>1.2784380608435007E-2</v>
      </c>
      <c r="V426" s="335">
        <f t="shared" si="34"/>
        <v>1.0459406089949434E-3</v>
      </c>
    </row>
    <row r="427" spans="1:22" x14ac:dyDescent="0.45">
      <c r="A427" s="293" t="s">
        <v>169</v>
      </c>
      <c r="B427" s="297" t="s">
        <v>0</v>
      </c>
      <c r="C427" s="293" t="str">
        <f t="shared" si="30"/>
        <v>Costa RicaManufacture of food products (C10)</v>
      </c>
      <c r="D427" s="297" t="s">
        <v>958</v>
      </c>
      <c r="E427" s="298">
        <v>2101.8812017599998</v>
      </c>
      <c r="F427" s="298">
        <v>2931.7688963300002</v>
      </c>
      <c r="G427" s="302">
        <v>0.39483092283003329</v>
      </c>
      <c r="H427" s="303">
        <v>58280.78662477</v>
      </c>
      <c r="I427" s="298">
        <v>2484.3205867299998</v>
      </c>
      <c r="J427" s="298">
        <v>2931.7688963300002</v>
      </c>
      <c r="K427" s="302">
        <v>0.18010892474588247</v>
      </c>
      <c r="L427" s="298">
        <v>3628.3290350299999</v>
      </c>
      <c r="M427" s="298">
        <v>3941.5074857999998</v>
      </c>
      <c r="N427" s="298">
        <v>4152.5939049299996</v>
      </c>
      <c r="O427" s="306">
        <v>4695.9611634900002</v>
      </c>
      <c r="P427" s="306" cm="1">
        <f t="array" ref="P427">INDEX($E$302:$E$676, MATCH($B427, $B$302:$B$676, 0) * MATCH("Brazil", $A$302:$A$676, 0))</f>
        <v>184399.03464741001</v>
      </c>
      <c r="Q427" s="306">
        <f t="shared" si="31"/>
        <v>182297.15344565001</v>
      </c>
      <c r="R427" s="336">
        <f>INDEX('Base GDP'!$A$1:$E$76,MATCH(A427,'Base GDP'!$A$1:$A$76,0),4)</f>
        <v>56790.776904650003</v>
      </c>
      <c r="S427" s="336">
        <f>INDEX('Base GDP'!$A$1:$E$76,MATCH(A427,'Base GDP'!$A$1:$A$76,0),5)</f>
        <v>66933.267445050005</v>
      </c>
      <c r="T427" s="335">
        <f t="shared" si="32"/>
        <v>4.3745141766612892E-2</v>
      </c>
      <c r="U427" s="335">
        <f t="shared" si="33"/>
        <v>4.380137124990776E-2</v>
      </c>
      <c r="V427" s="335">
        <f t="shared" si="34"/>
        <v>5.6229483294867322E-5</v>
      </c>
    </row>
    <row r="428" spans="1:22" x14ac:dyDescent="0.45">
      <c r="A428" s="293" t="s">
        <v>164</v>
      </c>
      <c r="B428" s="297" t="s">
        <v>0</v>
      </c>
      <c r="C428" s="293" t="str">
        <f t="shared" si="30"/>
        <v>MoroccoManufacture of food products (C10)</v>
      </c>
      <c r="D428" s="297" t="s">
        <v>958</v>
      </c>
      <c r="E428" s="298">
        <v>1869.2202710700001</v>
      </c>
      <c r="F428" s="298">
        <v>2897.74387166</v>
      </c>
      <c r="G428" s="302">
        <v>0.55024205360304634</v>
      </c>
      <c r="H428" s="303">
        <v>58513.447555459999</v>
      </c>
      <c r="I428" s="298">
        <v>2308.4993163499998</v>
      </c>
      <c r="J428" s="298">
        <v>2897.74387166</v>
      </c>
      <c r="K428" s="302">
        <v>0.25525004540250973</v>
      </c>
      <c r="L428" s="298">
        <v>3179.3640058199999</v>
      </c>
      <c r="M428" s="298">
        <v>3456.6856610200002</v>
      </c>
      <c r="N428" s="298">
        <v>3683.0106549400002</v>
      </c>
      <c r="O428" s="306">
        <v>4354.0130792</v>
      </c>
      <c r="P428" s="306" cm="1">
        <f t="array" ref="P428">INDEX($E$302:$E$676, MATCH($B428, $B$302:$B$676, 0) * MATCH("Brazil", $A$302:$A$676, 0))</f>
        <v>184399.03464741001</v>
      </c>
      <c r="Q428" s="306">
        <f t="shared" si="31"/>
        <v>182529.81437634001</v>
      </c>
      <c r="R428" s="336">
        <f>INDEX('Base GDP'!$A$1:$E$76,MATCH(A428,'Base GDP'!$A$1:$A$76,0),4)</f>
        <v>115608.87885166</v>
      </c>
      <c r="S428" s="336">
        <f>INDEX('Base GDP'!$A$1:$E$76,MATCH(A428,'Base GDP'!$A$1:$A$76,0),5)</f>
        <v>129710.11086108</v>
      </c>
      <c r="T428" s="335">
        <f t="shared" si="32"/>
        <v>1.9968183579671939E-2</v>
      </c>
      <c r="U428" s="335">
        <f t="shared" si="33"/>
        <v>2.2340154151618098E-2</v>
      </c>
      <c r="V428" s="335">
        <f t="shared" si="34"/>
        <v>2.3719705719461581E-3</v>
      </c>
    </row>
    <row r="429" spans="1:22" x14ac:dyDescent="0.45">
      <c r="A429" s="293" t="s">
        <v>165</v>
      </c>
      <c r="B429" s="297" t="s">
        <v>0</v>
      </c>
      <c r="C429" s="293" t="str">
        <f t="shared" si="30"/>
        <v>EcuadorManufacture of food products (C10)</v>
      </c>
      <c r="D429" s="297" t="s">
        <v>958</v>
      </c>
      <c r="E429" s="298">
        <v>2622.5220824600001</v>
      </c>
      <c r="F429" s="298">
        <v>2694.78610557</v>
      </c>
      <c r="G429" s="302">
        <v>2.7555162869101313E-2</v>
      </c>
      <c r="H429" s="303">
        <v>57760.145744070003</v>
      </c>
      <c r="I429" s="298">
        <v>2648.8709633899998</v>
      </c>
      <c r="J429" s="298">
        <v>2694.78610557</v>
      </c>
      <c r="K429" s="302">
        <v>1.7333853862491866E-2</v>
      </c>
      <c r="L429" s="298">
        <v>2932.7253200199998</v>
      </c>
      <c r="M429" s="298">
        <v>3194.4630487999998</v>
      </c>
      <c r="N429" s="298">
        <v>3406.6533128299998</v>
      </c>
      <c r="O429" s="306">
        <v>3864.6360421999998</v>
      </c>
      <c r="P429" s="306" cm="1">
        <f t="array" ref="P429">INDEX($E$302:$E$676, MATCH($B429, $B$302:$B$676, 0) * MATCH("Brazil", $A$302:$A$676, 0))</f>
        <v>184399.03464741001</v>
      </c>
      <c r="Q429" s="306">
        <f t="shared" si="31"/>
        <v>181776.51256495001</v>
      </c>
      <c r="R429" s="336">
        <f>INDEX('Base GDP'!$A$1:$E$76,MATCH(A429,'Base GDP'!$A$1:$A$76,0),4)</f>
        <v>105544.34131757999</v>
      </c>
      <c r="S429" s="336">
        <f>INDEX('Base GDP'!$A$1:$E$76,MATCH(A429,'Base GDP'!$A$1:$A$76,0),5)</f>
        <v>103911.06087433999</v>
      </c>
      <c r="T429" s="335">
        <f t="shared" si="32"/>
        <v>2.5097233355406715E-2</v>
      </c>
      <c r="U429" s="335">
        <f t="shared" si="33"/>
        <v>2.5933582843782284E-2</v>
      </c>
      <c r="V429" s="335">
        <f t="shared" si="34"/>
        <v>8.3634948837556927E-4</v>
      </c>
    </row>
    <row r="430" spans="1:22" x14ac:dyDescent="0.45">
      <c r="A430" s="293" t="s">
        <v>126</v>
      </c>
      <c r="B430" s="297" t="s">
        <v>0</v>
      </c>
      <c r="C430" s="293" t="str">
        <f t="shared" si="30"/>
        <v>FinlandManufacture of food products (C10)</v>
      </c>
      <c r="D430" s="297" t="s">
        <v>958</v>
      </c>
      <c r="E430" s="298">
        <v>2983.5452639800001</v>
      </c>
      <c r="F430" s="298">
        <v>2690.71047206</v>
      </c>
      <c r="G430" s="302">
        <v>-9.8149941097043447E-2</v>
      </c>
      <c r="H430" s="303">
        <v>57399.122562550001</v>
      </c>
      <c r="I430" s="298">
        <v>2500.8963952300001</v>
      </c>
      <c r="J430" s="298">
        <v>2690.71047206</v>
      </c>
      <c r="K430" s="302">
        <v>7.5898416740507679E-2</v>
      </c>
      <c r="L430" s="298">
        <v>2689.6332308800002</v>
      </c>
      <c r="M430" s="298">
        <v>2672.5089803699998</v>
      </c>
      <c r="N430" s="298">
        <v>2678.9965867000001</v>
      </c>
      <c r="O430" s="306">
        <v>2709.1388102599999</v>
      </c>
      <c r="P430" s="306" cm="1">
        <f t="array" ref="P430">INDEX($E$302:$E$676, MATCH($B430, $B$302:$B$676, 0) * MATCH("Brazil", $A$302:$A$676, 0))</f>
        <v>184399.03464741001</v>
      </c>
      <c r="Q430" s="306">
        <f t="shared" si="31"/>
        <v>181415.48938343002</v>
      </c>
      <c r="R430" s="336">
        <f>INDEX('Base GDP'!$A$1:$E$76,MATCH(A430,'Base GDP'!$A$1:$A$76,0),4)</f>
        <v>247207.29862345001</v>
      </c>
      <c r="S430" s="336">
        <f>INDEX('Base GDP'!$A$1:$E$76,MATCH(A430,'Base GDP'!$A$1:$A$76,0),5)</f>
        <v>270499.52733732999</v>
      </c>
      <c r="T430" s="335">
        <f t="shared" si="32"/>
        <v>1.0116596108432074E-2</v>
      </c>
      <c r="U430" s="335">
        <f t="shared" si="33"/>
        <v>9.9471910304098771E-3</v>
      </c>
      <c r="V430" s="335">
        <f t="shared" si="34"/>
        <v>-1.6940507802219729E-4</v>
      </c>
    </row>
    <row r="431" spans="1:22" x14ac:dyDescent="0.45">
      <c r="A431" s="293" t="s">
        <v>174</v>
      </c>
      <c r="B431" s="297" t="s">
        <v>0</v>
      </c>
      <c r="C431" s="293" t="str">
        <f t="shared" si="30"/>
        <v>Sri LankaManufacture of food products (C10)</v>
      </c>
      <c r="D431" s="297" t="s">
        <v>958</v>
      </c>
      <c r="E431" s="298">
        <v>4953.2577694800002</v>
      </c>
      <c r="F431" s="298">
        <v>2653.2230527400002</v>
      </c>
      <c r="G431" s="302">
        <v>-0.46434787442557446</v>
      </c>
      <c r="H431" s="303">
        <v>55429.410057050001</v>
      </c>
      <c r="I431" s="298">
        <v>2462.8119544900001</v>
      </c>
      <c r="J431" s="298">
        <v>2653.2230527400002</v>
      </c>
      <c r="K431" s="302">
        <v>7.7314509499134987E-2</v>
      </c>
      <c r="L431" s="298">
        <v>2561.0891299099999</v>
      </c>
      <c r="M431" s="298">
        <v>2968.6023153800002</v>
      </c>
      <c r="N431" s="298">
        <v>3318.79153116</v>
      </c>
      <c r="O431" s="306">
        <v>4296.38468964</v>
      </c>
      <c r="P431" s="306" cm="1">
        <f t="array" ref="P431">INDEX($E$302:$E$676, MATCH($B431, $B$302:$B$676, 0) * MATCH("Brazil", $A$302:$A$676, 0))</f>
        <v>184399.03464741001</v>
      </c>
      <c r="Q431" s="306">
        <f t="shared" si="31"/>
        <v>179445.77687793001</v>
      </c>
      <c r="R431" s="336">
        <f>INDEX('Base GDP'!$A$1:$E$76,MATCH(A431,'Base GDP'!$A$1:$A$76,0),4)</f>
        <v>77969.257644440004</v>
      </c>
      <c r="S431" s="336">
        <f>INDEX('Base GDP'!$A$1:$E$76,MATCH(A431,'Base GDP'!$A$1:$A$76,0),5)</f>
        <v>87884.425158479993</v>
      </c>
      <c r="T431" s="335">
        <f t="shared" si="32"/>
        <v>3.1586961693556966E-2</v>
      </c>
      <c r="U431" s="335">
        <f t="shared" si="33"/>
        <v>3.0189911897989925E-2</v>
      </c>
      <c r="V431" s="335">
        <f t="shared" si="34"/>
        <v>-1.3970497955670402E-3</v>
      </c>
    </row>
    <row r="432" spans="1:22" x14ac:dyDescent="0.45">
      <c r="A432" s="293" t="s">
        <v>113</v>
      </c>
      <c r="B432" s="297" t="s">
        <v>0</v>
      </c>
      <c r="C432" s="293" t="str">
        <f t="shared" si="30"/>
        <v>HungaryManufacture of food products (C10)</v>
      </c>
      <c r="D432" s="297" t="s">
        <v>958</v>
      </c>
      <c r="E432" s="298">
        <v>2149.1923354099999</v>
      </c>
      <c r="F432" s="298">
        <v>2430.7341001899999</v>
      </c>
      <c r="G432" s="302">
        <v>0.13099886880356415</v>
      </c>
      <c r="H432" s="303">
        <v>58233.47549112</v>
      </c>
      <c r="I432" s="298">
        <v>1974.0356613500001</v>
      </c>
      <c r="J432" s="298">
        <v>2430.7341001899999</v>
      </c>
      <c r="K432" s="302">
        <v>0.23135267907352475</v>
      </c>
      <c r="L432" s="298">
        <v>2457.9876052999998</v>
      </c>
      <c r="M432" s="298">
        <v>2513.53847314</v>
      </c>
      <c r="N432" s="298">
        <v>2755.0598077300001</v>
      </c>
      <c r="O432" s="306">
        <v>3158.56655331</v>
      </c>
      <c r="P432" s="306" cm="1">
        <f t="array" ref="P432">INDEX($E$302:$E$676, MATCH($B432, $B$302:$B$676, 0) * MATCH("Brazil", $A$302:$A$676, 0))</f>
        <v>184399.03464741001</v>
      </c>
      <c r="Q432" s="306">
        <f t="shared" si="31"/>
        <v>182249.84231199999</v>
      </c>
      <c r="R432" s="336">
        <f>INDEX('Base GDP'!$A$1:$E$76,MATCH(A432,'Base GDP'!$A$1:$A$76,0),4)</f>
        <v>139098.07965294999</v>
      </c>
      <c r="S432" s="336">
        <f>INDEX('Base GDP'!$A$1:$E$76,MATCH(A432,'Base GDP'!$A$1:$A$76,0),5)</f>
        <v>167320.49519441</v>
      </c>
      <c r="T432" s="335">
        <f t="shared" si="32"/>
        <v>1.4191681626915507E-2</v>
      </c>
      <c r="U432" s="335">
        <f t="shared" si="33"/>
        <v>1.4527413974992874E-2</v>
      </c>
      <c r="V432" s="335">
        <f t="shared" si="34"/>
        <v>3.3573234807736732E-4</v>
      </c>
    </row>
    <row r="433" spans="1:22" x14ac:dyDescent="0.45">
      <c r="A433" s="293" t="s">
        <v>121</v>
      </c>
      <c r="B433" s="297" t="s">
        <v>0</v>
      </c>
      <c r="C433" s="293" t="str">
        <f t="shared" si="30"/>
        <v>SingaporeManufacture of food products (C10)</v>
      </c>
      <c r="D433" s="297" t="s">
        <v>958</v>
      </c>
      <c r="E433" s="298">
        <v>1982.71405293</v>
      </c>
      <c r="F433" s="298">
        <v>2220.3224570500001</v>
      </c>
      <c r="G433" s="302">
        <v>0.11983997579926831</v>
      </c>
      <c r="H433" s="303">
        <v>58399.953773599998</v>
      </c>
      <c r="I433" s="298">
        <v>1918.27000406</v>
      </c>
      <c r="J433" s="298">
        <v>2220.3224570500001</v>
      </c>
      <c r="K433" s="302">
        <v>0.15746086439902052</v>
      </c>
      <c r="L433" s="298">
        <v>2578.9127933300001</v>
      </c>
      <c r="M433" s="298">
        <v>2870.7447874700001</v>
      </c>
      <c r="N433" s="298">
        <v>3082.4246316899998</v>
      </c>
      <c r="O433" s="306">
        <v>3703.1488371300002</v>
      </c>
      <c r="P433" s="306" cm="1">
        <f t="array" ref="P433">INDEX($E$302:$E$676, MATCH($B433, $B$302:$B$676, 0) * MATCH("Brazil", $A$302:$A$676, 0))</f>
        <v>184399.03464741001</v>
      </c>
      <c r="Q433" s="306">
        <f t="shared" si="31"/>
        <v>182416.32059448</v>
      </c>
      <c r="R433" s="336">
        <f>INDEX('Base GDP'!$A$1:$E$76,MATCH(A433,'Base GDP'!$A$1:$A$76,0),4)</f>
        <v>331298.98374970001</v>
      </c>
      <c r="S433" s="336">
        <f>INDEX('Base GDP'!$A$1:$E$76,MATCH(A433,'Base GDP'!$A$1:$A$76,0),5)</f>
        <v>394237.177708</v>
      </c>
      <c r="T433" s="335">
        <f t="shared" si="32"/>
        <v>5.7901475650443705E-3</v>
      </c>
      <c r="U433" s="335">
        <f t="shared" si="33"/>
        <v>5.6319459010903544E-3</v>
      </c>
      <c r="V433" s="335">
        <f t="shared" si="34"/>
        <v>-1.5820166395401607E-4</v>
      </c>
    </row>
    <row r="434" spans="1:22" x14ac:dyDescent="0.45">
      <c r="A434" s="293" t="s">
        <v>173</v>
      </c>
      <c r="B434" s="297" t="s">
        <v>0</v>
      </c>
      <c r="C434" s="293" t="str">
        <f t="shared" si="30"/>
        <v>PanamaManufacture of food products (C10)</v>
      </c>
      <c r="D434" s="297" t="s">
        <v>958</v>
      </c>
      <c r="E434" s="298">
        <v>1131.2570062499999</v>
      </c>
      <c r="F434" s="298">
        <v>2013.4546069200001</v>
      </c>
      <c r="G434" s="302">
        <v>0.77983835308511718</v>
      </c>
      <c r="H434" s="303">
        <v>59251.410820279998</v>
      </c>
      <c r="I434" s="298">
        <v>2114.2695359099998</v>
      </c>
      <c r="J434" s="298">
        <v>2013.4546069200001</v>
      </c>
      <c r="K434" s="302">
        <v>-4.7683101552427276E-2</v>
      </c>
      <c r="L434" s="298">
        <v>2370.58008634</v>
      </c>
      <c r="M434" s="298">
        <v>2606.31189335</v>
      </c>
      <c r="N434" s="298">
        <v>2788.8096616299999</v>
      </c>
      <c r="O434" s="306">
        <v>3285.5308473300001</v>
      </c>
      <c r="P434" s="306" cm="1">
        <f t="array" ref="P434">INDEX($E$302:$E$676, MATCH($B434, $B$302:$B$676, 0) * MATCH("Brazil", $A$302:$A$676, 0))</f>
        <v>184399.03464741001</v>
      </c>
      <c r="Q434" s="306">
        <f t="shared" si="31"/>
        <v>183267.77764116001</v>
      </c>
      <c r="R434" s="336">
        <f>INDEX('Base GDP'!$A$1:$E$76,MATCH(A434,'Base GDP'!$A$1:$A$76,0),4)</f>
        <v>58921.61186117</v>
      </c>
      <c r="S434" s="336">
        <f>INDEX('Base GDP'!$A$1:$E$76,MATCH(A434,'Base GDP'!$A$1:$A$76,0),5)</f>
        <v>65983.988595749994</v>
      </c>
      <c r="T434" s="335">
        <f t="shared" si="32"/>
        <v>3.5882751152354793E-2</v>
      </c>
      <c r="U434" s="335">
        <f t="shared" si="33"/>
        <v>3.0514290660047884E-2</v>
      </c>
      <c r="V434" s="335">
        <f t="shared" si="34"/>
        <v>-5.368460492306909E-3</v>
      </c>
    </row>
    <row r="435" spans="1:22" x14ac:dyDescent="0.45">
      <c r="A435" s="293" t="s">
        <v>172</v>
      </c>
      <c r="B435" s="297" t="s">
        <v>0</v>
      </c>
      <c r="C435" s="293" t="str">
        <f t="shared" si="30"/>
        <v>UruguayManufacture of food products (C10)</v>
      </c>
      <c r="D435" s="297" t="s">
        <v>958</v>
      </c>
      <c r="E435" s="298">
        <v>1530.51698158</v>
      </c>
      <c r="F435" s="298">
        <v>1973.9361016400001</v>
      </c>
      <c r="G435" s="302">
        <v>0.28971852347710958</v>
      </c>
      <c r="H435" s="303">
        <v>58852.150844949996</v>
      </c>
      <c r="I435" s="298">
        <v>1797.4253018100001</v>
      </c>
      <c r="J435" s="298">
        <v>1973.9361016400001</v>
      </c>
      <c r="K435" s="302">
        <v>9.8202022444134007E-2</v>
      </c>
      <c r="L435" s="298">
        <v>2277.63627653</v>
      </c>
      <c r="M435" s="298">
        <v>2346.5647812699999</v>
      </c>
      <c r="N435" s="298">
        <v>2382.7685238499998</v>
      </c>
      <c r="O435" s="306">
        <v>2484.2163783800002</v>
      </c>
      <c r="P435" s="306" cm="1">
        <f t="array" ref="P435">INDEX($E$302:$E$676, MATCH($B435, $B$302:$B$676, 0) * MATCH("Brazil", $A$302:$A$676, 0))</f>
        <v>184399.03464741001</v>
      </c>
      <c r="Q435" s="306">
        <f t="shared" si="31"/>
        <v>182868.51766583</v>
      </c>
      <c r="R435" s="336">
        <f>INDEX('Base GDP'!$A$1:$E$76,MATCH(A435,'Base GDP'!$A$1:$A$76,0),4)</f>
        <v>59449.563607900003</v>
      </c>
      <c r="S435" s="336">
        <f>INDEX('Base GDP'!$A$1:$E$76,MATCH(A435,'Base GDP'!$A$1:$A$76,0),5)</f>
        <v>61243.536031950003</v>
      </c>
      <c r="T435" s="335">
        <f t="shared" si="32"/>
        <v>3.0234457458172961E-2</v>
      </c>
      <c r="U435" s="335">
        <f t="shared" si="33"/>
        <v>3.2230929654522587E-2</v>
      </c>
      <c r="V435" s="335">
        <f t="shared" si="34"/>
        <v>1.9964721963496267E-3</v>
      </c>
    </row>
    <row r="436" spans="1:22" x14ac:dyDescent="0.45">
      <c r="A436" s="293" t="s">
        <v>162</v>
      </c>
      <c r="B436" s="297" t="s">
        <v>0</v>
      </c>
      <c r="C436" s="293" t="str">
        <f t="shared" si="30"/>
        <v>RomaniaManufacture of food products (C10)</v>
      </c>
      <c r="D436" s="297" t="s">
        <v>958</v>
      </c>
      <c r="E436" s="298">
        <v>1458.4942839800001</v>
      </c>
      <c r="F436" s="298">
        <v>1962.4076570899999</v>
      </c>
      <c r="G436" s="302">
        <v>0.34550246692424458</v>
      </c>
      <c r="H436" s="303">
        <v>58924.173542550001</v>
      </c>
      <c r="I436" s="298">
        <v>1663.90096008</v>
      </c>
      <c r="J436" s="298">
        <v>1962.4076570899999</v>
      </c>
      <c r="K436" s="302">
        <v>0.17940172172005231</v>
      </c>
      <c r="L436" s="298">
        <v>2203.6696313500001</v>
      </c>
      <c r="M436" s="298">
        <v>2310.40749942</v>
      </c>
      <c r="N436" s="298">
        <v>2369.17110211</v>
      </c>
      <c r="O436" s="306">
        <v>2460.1484358100001</v>
      </c>
      <c r="P436" s="306" cm="1">
        <f t="array" ref="P436">INDEX($E$302:$E$676, MATCH($B436, $B$302:$B$676, 0) * MATCH("Brazil", $A$302:$A$676, 0))</f>
        <v>184399.03464741001</v>
      </c>
      <c r="Q436" s="306">
        <f t="shared" si="31"/>
        <v>182940.54036343002</v>
      </c>
      <c r="R436" s="336">
        <f>INDEX('Base GDP'!$A$1:$E$76,MATCH(A436,'Base GDP'!$A$1:$A$76,0),4)</f>
        <v>204518.17392167001</v>
      </c>
      <c r="S436" s="336">
        <f>INDEX('Base GDP'!$A$1:$E$76,MATCH(A436,'Base GDP'!$A$1:$A$76,0),5)</f>
        <v>254974.25152873</v>
      </c>
      <c r="T436" s="335">
        <f t="shared" si="32"/>
        <v>8.1357119916260854E-3</v>
      </c>
      <c r="U436" s="335">
        <f t="shared" si="33"/>
        <v>7.6964934511000206E-3</v>
      </c>
      <c r="V436" s="335">
        <f t="shared" si="34"/>
        <v>-4.3921854052606478E-4</v>
      </c>
    </row>
    <row r="437" spans="1:22" x14ac:dyDescent="0.45">
      <c r="A437" s="293" t="s">
        <v>143</v>
      </c>
      <c r="B437" s="297" t="s">
        <v>0</v>
      </c>
      <c r="C437" s="293" t="str">
        <f t="shared" si="30"/>
        <v>United Arab EmiratesManufacture of food products (C10)</v>
      </c>
      <c r="D437" s="297" t="s">
        <v>958</v>
      </c>
      <c r="E437" s="298">
        <v>1665.0392243199999</v>
      </c>
      <c r="F437" s="298">
        <v>1769.39132462</v>
      </c>
      <c r="G437" s="302">
        <v>6.267245766694618E-2</v>
      </c>
      <c r="H437" s="303">
        <v>58717.628602210003</v>
      </c>
      <c r="I437" s="298">
        <v>1890.7854566799999</v>
      </c>
      <c r="J437" s="298">
        <v>1769.39132462</v>
      </c>
      <c r="K437" s="302">
        <v>-6.4203017656563777E-2</v>
      </c>
      <c r="L437" s="298">
        <v>1725.5094228</v>
      </c>
      <c r="M437" s="298">
        <v>1834.9150762300001</v>
      </c>
      <c r="N437" s="298">
        <v>1913.6158213399999</v>
      </c>
      <c r="O437" s="306">
        <v>2118.7355751099999</v>
      </c>
      <c r="P437" s="306" cm="1">
        <f t="array" ref="P437">INDEX($E$302:$E$676, MATCH($B437, $B$302:$B$676, 0) * MATCH("Brazil", $A$302:$A$676, 0))</f>
        <v>184399.03464741001</v>
      </c>
      <c r="Q437" s="306">
        <f t="shared" si="31"/>
        <v>182733.99542309</v>
      </c>
      <c r="R437" s="336">
        <f>INDEX('Base GDP'!$A$1:$E$76,MATCH(A437,'Base GDP'!$A$1:$A$76,0),4)</f>
        <v>383753.13090967003</v>
      </c>
      <c r="S437" s="336">
        <f>INDEX('Base GDP'!$A$1:$E$76,MATCH(A437,'Base GDP'!$A$1:$A$76,0),5)</f>
        <v>414599.77007557999</v>
      </c>
      <c r="T437" s="335">
        <f t="shared" si="32"/>
        <v>4.9270880271334219E-3</v>
      </c>
      <c r="U437" s="335">
        <f t="shared" si="33"/>
        <v>4.2677093725774296E-3</v>
      </c>
      <c r="V437" s="335">
        <f t="shared" si="34"/>
        <v>-6.5937865455599227E-4</v>
      </c>
    </row>
    <row r="438" spans="1:22" x14ac:dyDescent="0.45">
      <c r="A438" s="293" t="s">
        <v>177</v>
      </c>
      <c r="B438" s="297" t="s">
        <v>0</v>
      </c>
      <c r="C438" s="293" t="str">
        <f t="shared" si="30"/>
        <v>BoliviaManufacture of food products (C10)</v>
      </c>
      <c r="D438" s="297" t="s">
        <v>958</v>
      </c>
      <c r="E438" s="298">
        <v>850.43551993000005</v>
      </c>
      <c r="F438" s="298">
        <v>1318.7880281600001</v>
      </c>
      <c r="G438" s="302">
        <v>0.55072077453743984</v>
      </c>
      <c r="H438" s="303">
        <v>59532.232306600003</v>
      </c>
      <c r="I438" s="298">
        <v>1039.9173115599999</v>
      </c>
      <c r="J438" s="298">
        <v>1318.7880281600001</v>
      </c>
      <c r="K438" s="302">
        <v>0.26816624120013999</v>
      </c>
      <c r="L438" s="298">
        <v>1700.09521683</v>
      </c>
      <c r="M438" s="298">
        <v>2021.0105209999999</v>
      </c>
      <c r="N438" s="298">
        <v>2278.2679499400001</v>
      </c>
      <c r="O438" s="306">
        <v>2935.8625878600001</v>
      </c>
      <c r="P438" s="306" cm="1">
        <f t="array" ref="P438">INDEX($E$302:$E$676, MATCH($B438, $B$302:$B$676, 0) * MATCH("Brazil", $A$302:$A$676, 0))</f>
        <v>184399.03464741001</v>
      </c>
      <c r="Q438" s="306">
        <f t="shared" si="31"/>
        <v>183548.59912748</v>
      </c>
      <c r="R438" s="336">
        <f>INDEX('Base GDP'!$A$1:$E$76,MATCH(A438,'Base GDP'!$A$1:$A$76,0),4)</f>
        <v>35334.894672080001</v>
      </c>
      <c r="S438" s="336">
        <f>INDEX('Base GDP'!$A$1:$E$76,MATCH(A438,'Base GDP'!$A$1:$A$76,0),5)</f>
        <v>39600.741188879998</v>
      </c>
      <c r="T438" s="335">
        <f t="shared" si="32"/>
        <v>2.9430321533735728E-2</v>
      </c>
      <c r="U438" s="335">
        <f t="shared" si="33"/>
        <v>3.3302104671978201E-2</v>
      </c>
      <c r="V438" s="335">
        <f t="shared" si="34"/>
        <v>3.8717831382424732E-3</v>
      </c>
    </row>
    <row r="439" spans="1:22" x14ac:dyDescent="0.45">
      <c r="A439" s="293" t="s">
        <v>168</v>
      </c>
      <c r="B439" s="297" t="s">
        <v>0</v>
      </c>
      <c r="C439" s="293" t="str">
        <f t="shared" si="30"/>
        <v>TunisiaManufacture of food products (C10)</v>
      </c>
      <c r="D439" s="297" t="s">
        <v>958</v>
      </c>
      <c r="E439" s="298">
        <v>1038.3551557799999</v>
      </c>
      <c r="F439" s="298">
        <v>1251.8408926300001</v>
      </c>
      <c r="G439" s="302">
        <v>0.20559991989410631</v>
      </c>
      <c r="H439" s="303">
        <v>59344.312670749998</v>
      </c>
      <c r="I439" s="298">
        <v>1168.62658263</v>
      </c>
      <c r="J439" s="298">
        <v>1251.8408926300001</v>
      </c>
      <c r="K439" s="302">
        <v>7.1206928917127543E-2</v>
      </c>
      <c r="L439" s="298">
        <v>1315.22504779</v>
      </c>
      <c r="M439" s="298">
        <v>1516.8176612899999</v>
      </c>
      <c r="N439" s="298">
        <v>1680.1632916900001</v>
      </c>
      <c r="O439" s="306">
        <v>2144.04990206</v>
      </c>
      <c r="P439" s="306" cm="1">
        <f t="array" ref="P439">INDEX($E$302:$E$676, MATCH($B439, $B$302:$B$676, 0) * MATCH("Brazil", $A$302:$A$676, 0))</f>
        <v>184399.03464741001</v>
      </c>
      <c r="Q439" s="306">
        <f t="shared" si="31"/>
        <v>183360.67949163</v>
      </c>
      <c r="R439" s="336">
        <f>INDEX('Base GDP'!$A$1:$E$76,MATCH(A439,'Base GDP'!$A$1:$A$76,0),4)</f>
        <v>38884.65391288</v>
      </c>
      <c r="S439" s="336">
        <f>INDEX('Base GDP'!$A$1:$E$76,MATCH(A439,'Base GDP'!$A$1:$A$76,0),5)</f>
        <v>40072.692608359997</v>
      </c>
      <c r="T439" s="335">
        <f t="shared" si="32"/>
        <v>3.0053670665252052E-2</v>
      </c>
      <c r="U439" s="335">
        <f t="shared" si="33"/>
        <v>3.1239250750243822E-2</v>
      </c>
      <c r="V439" s="335">
        <f t="shared" si="34"/>
        <v>1.1855800849917691E-3</v>
      </c>
    </row>
    <row r="440" spans="1:22" x14ac:dyDescent="0.45">
      <c r="A440" s="293" t="s">
        <v>160</v>
      </c>
      <c r="B440" s="297" t="s">
        <v>0</v>
      </c>
      <c r="C440" s="293" t="str">
        <f t="shared" si="30"/>
        <v>BulgariaManufacture of food products (C10)</v>
      </c>
      <c r="D440" s="297" t="s">
        <v>958</v>
      </c>
      <c r="E440" s="298">
        <v>1074.84820444</v>
      </c>
      <c r="F440" s="298">
        <v>1202.3057131</v>
      </c>
      <c r="G440" s="302">
        <v>0.11858186870806176</v>
      </c>
      <c r="H440" s="303">
        <v>59307.819622089999</v>
      </c>
      <c r="I440" s="298">
        <v>1144.0080434500001</v>
      </c>
      <c r="J440" s="298">
        <v>1202.3057131</v>
      </c>
      <c r="K440" s="302">
        <v>5.0959143149195807E-2</v>
      </c>
      <c r="L440" s="298">
        <v>1305.24703621</v>
      </c>
      <c r="M440" s="298">
        <v>1284.2303625100001</v>
      </c>
      <c r="N440" s="298">
        <v>1304.8994613100001</v>
      </c>
      <c r="O440" s="306">
        <v>1437.4482642299999</v>
      </c>
      <c r="P440" s="306" cm="1">
        <f t="array" ref="P440">INDEX($E$302:$E$676, MATCH($B440, $B$302:$B$676, 0) * MATCH("Brazil", $A$302:$A$676, 0))</f>
        <v>184399.03464741001</v>
      </c>
      <c r="Q440" s="306">
        <f t="shared" si="31"/>
        <v>183324.18644297001</v>
      </c>
      <c r="R440" s="336">
        <f>INDEX('Base GDP'!$A$1:$E$76,MATCH(A440,'Base GDP'!$A$1:$A$76,0),4)</f>
        <v>60854.013563</v>
      </c>
      <c r="S440" s="336">
        <f>INDEX('Base GDP'!$A$1:$E$76,MATCH(A440,'Base GDP'!$A$1:$A$76,0),5)</f>
        <v>70836.911882080007</v>
      </c>
      <c r="T440" s="335">
        <f t="shared" si="32"/>
        <v>1.8799220897166447E-2</v>
      </c>
      <c r="U440" s="335">
        <f t="shared" si="33"/>
        <v>1.6972870233268225E-2</v>
      </c>
      <c r="V440" s="335">
        <f t="shared" si="34"/>
        <v>-1.826350663898222E-3</v>
      </c>
    </row>
    <row r="441" spans="1:22" x14ac:dyDescent="0.45">
      <c r="A441" s="293" t="s">
        <v>157</v>
      </c>
      <c r="B441" s="297" t="s">
        <v>0</v>
      </c>
      <c r="C441" s="293" t="str">
        <f t="shared" si="30"/>
        <v>SlovakiaManufacture of food products (C10)</v>
      </c>
      <c r="D441" s="297" t="s">
        <v>958</v>
      </c>
      <c r="E441" s="298">
        <v>1170.2043212399999</v>
      </c>
      <c r="F441" s="298">
        <v>1088.9450419899999</v>
      </c>
      <c r="G441" s="302">
        <v>-6.9440248830985429E-2</v>
      </c>
      <c r="H441" s="303">
        <v>59212.463505289998</v>
      </c>
      <c r="I441" s="298">
        <v>881.94427521</v>
      </c>
      <c r="J441" s="298">
        <v>1088.9450419899999</v>
      </c>
      <c r="K441" s="302">
        <v>0.23470957587508678</v>
      </c>
      <c r="L441" s="298">
        <v>1188.60607082</v>
      </c>
      <c r="M441" s="298">
        <v>1237.9996381000001</v>
      </c>
      <c r="N441" s="298">
        <v>1267.02346685</v>
      </c>
      <c r="O441" s="306">
        <v>1373.1325050400001</v>
      </c>
      <c r="P441" s="306" cm="1">
        <f t="array" ref="P441">INDEX($E$302:$E$676, MATCH($B441, $B$302:$B$676, 0) * MATCH("Brazil", $A$302:$A$676, 0))</f>
        <v>184399.03464741001</v>
      </c>
      <c r="Q441" s="306">
        <f t="shared" si="31"/>
        <v>183228.83032617002</v>
      </c>
      <c r="R441" s="336">
        <f>INDEX('Base GDP'!$A$1:$E$76,MATCH(A441,'Base GDP'!$A$1:$A$76,0),4)</f>
        <v>94460.171576160006</v>
      </c>
      <c r="S441" s="336">
        <f>INDEX('Base GDP'!$A$1:$E$76,MATCH(A441,'Base GDP'!$A$1:$A$76,0),5)</f>
        <v>107076.6714533</v>
      </c>
      <c r="T441" s="335">
        <f t="shared" si="32"/>
        <v>9.3366787344750738E-3</v>
      </c>
      <c r="U441" s="335">
        <f t="shared" si="33"/>
        <v>1.0169769261691405E-2</v>
      </c>
      <c r="V441" s="335">
        <f t="shared" si="34"/>
        <v>8.3309052721633123E-4</v>
      </c>
    </row>
    <row r="442" spans="1:22" x14ac:dyDescent="0.45">
      <c r="A442" s="293" t="s">
        <v>167</v>
      </c>
      <c r="B442" s="297" t="s">
        <v>0</v>
      </c>
      <c r="C442" s="293" t="str">
        <f t="shared" si="30"/>
        <v>Hong Kong SARManufacture of food products (C10)</v>
      </c>
      <c r="D442" s="297" t="s">
        <v>958</v>
      </c>
      <c r="E442" s="298">
        <v>819.06834464999997</v>
      </c>
      <c r="F442" s="298">
        <v>1048.9146399900001</v>
      </c>
      <c r="G442" s="302">
        <v>0.2806191898897239</v>
      </c>
      <c r="H442" s="303">
        <v>59563.599481880003</v>
      </c>
      <c r="I442" s="298">
        <v>982.83918559000006</v>
      </c>
      <c r="J442" s="298">
        <v>1048.9146399900001</v>
      </c>
      <c r="K442" s="302">
        <v>6.7229161564549056E-2</v>
      </c>
      <c r="L442" s="298">
        <v>1168.3306780999999</v>
      </c>
      <c r="M442" s="298">
        <v>1214.6052190099999</v>
      </c>
      <c r="N442" s="298">
        <v>1242.44834765</v>
      </c>
      <c r="O442" s="306">
        <v>1344.6400969599999</v>
      </c>
      <c r="P442" s="306" cm="1">
        <f t="array" ref="P442">INDEX($E$302:$E$676, MATCH($B442, $B$302:$B$676, 0) * MATCH("Brazil", $A$302:$A$676, 0))</f>
        <v>184399.03464741001</v>
      </c>
      <c r="Q442" s="306">
        <f t="shared" si="31"/>
        <v>183579.96630276</v>
      </c>
      <c r="R442" s="336">
        <f>INDEX('Base GDP'!$A$1:$E$76,MATCH(A442,'Base GDP'!$A$1:$A$76,0),4)</f>
        <v>338559.97086627001</v>
      </c>
      <c r="S442" s="336">
        <f>INDEX('Base GDP'!$A$1:$E$76,MATCH(A442,'Base GDP'!$A$1:$A$76,0),5)</f>
        <v>361197.76240428002</v>
      </c>
      <c r="T442" s="335">
        <f t="shared" si="32"/>
        <v>2.9029987894765566E-3</v>
      </c>
      <c r="U442" s="335">
        <f t="shared" si="33"/>
        <v>2.9039898614210543E-3</v>
      </c>
      <c r="V442" s="335">
        <f t="shared" si="34"/>
        <v>9.9107194449776781E-7</v>
      </c>
    </row>
    <row r="443" spans="1:22" x14ac:dyDescent="0.45">
      <c r="A443" s="293" t="s">
        <v>171</v>
      </c>
      <c r="B443" s="297" t="s">
        <v>0</v>
      </c>
      <c r="C443" s="293" t="str">
        <f t="shared" si="30"/>
        <v>CameroonManufacture of food products (C10)</v>
      </c>
      <c r="D443" s="297" t="s">
        <v>958</v>
      </c>
      <c r="E443" s="298">
        <v>553.69574179999995</v>
      </c>
      <c r="F443" s="298">
        <v>856.36237760999995</v>
      </c>
      <c r="G443" s="302">
        <v>0.54662987803746921</v>
      </c>
      <c r="H443" s="303">
        <v>59828.972084729998</v>
      </c>
      <c r="I443" s="298">
        <v>683.25848298999995</v>
      </c>
      <c r="J443" s="298">
        <v>856.36237760999995</v>
      </c>
      <c r="K443" s="302">
        <v>0.25335052389321522</v>
      </c>
      <c r="L443" s="298">
        <v>1051.46271131</v>
      </c>
      <c r="M443" s="298">
        <v>1279.3016913500001</v>
      </c>
      <c r="N443" s="298">
        <v>1440.30181494</v>
      </c>
      <c r="O443" s="306">
        <v>1879.4663768600001</v>
      </c>
      <c r="P443" s="306" cm="1">
        <f t="array" ref="P443">INDEX($E$302:$E$676, MATCH($B443, $B$302:$B$676, 0) * MATCH("Brazil", $A$302:$A$676, 0))</f>
        <v>184399.03464741001</v>
      </c>
      <c r="Q443" s="306">
        <f t="shared" si="31"/>
        <v>183845.33890561</v>
      </c>
      <c r="R443" s="336">
        <f>INDEX('Base GDP'!$A$1:$E$76,MATCH(A443,'Base GDP'!$A$1:$A$76,0),4)</f>
        <v>34069.891642009999</v>
      </c>
      <c r="S443" s="336">
        <f>INDEX('Base GDP'!$A$1:$E$76,MATCH(A443,'Base GDP'!$A$1:$A$76,0),5)</f>
        <v>41316.84413338</v>
      </c>
      <c r="T443" s="335">
        <f t="shared" si="32"/>
        <v>2.0054612740461601E-2</v>
      </c>
      <c r="U443" s="335">
        <f t="shared" si="33"/>
        <v>2.0726713174062154E-2</v>
      </c>
      <c r="V443" s="335">
        <f t="shared" si="34"/>
        <v>6.7210043360055316E-4</v>
      </c>
    </row>
    <row r="444" spans="1:22" x14ac:dyDescent="0.45">
      <c r="A444" s="293" t="s">
        <v>153</v>
      </c>
      <c r="B444" s="297" t="s">
        <v>0</v>
      </c>
      <c r="C444" s="293" t="str">
        <f t="shared" si="30"/>
        <v>OmanManufacture of food products (C10)</v>
      </c>
      <c r="D444" s="297" t="s">
        <v>958</v>
      </c>
      <c r="E444" s="298">
        <v>541.90474756000003</v>
      </c>
      <c r="F444" s="298">
        <v>821.54152363000003</v>
      </c>
      <c r="G444" s="302">
        <v>0.51602569885040261</v>
      </c>
      <c r="H444" s="303">
        <v>59840.763078969998</v>
      </c>
      <c r="I444" s="298">
        <v>753.53404363000004</v>
      </c>
      <c r="J444" s="298">
        <v>821.54152363000003</v>
      </c>
      <c r="K444" s="302">
        <v>9.0251370292956601E-2</v>
      </c>
      <c r="L444" s="298">
        <v>961.64634183999999</v>
      </c>
      <c r="M444" s="298">
        <v>1038.46683366</v>
      </c>
      <c r="N444" s="298">
        <v>1075.6689626699999</v>
      </c>
      <c r="O444" s="306">
        <v>1211.9287138699999</v>
      </c>
      <c r="P444" s="306" cm="1">
        <f t="array" ref="P444">INDEX($E$302:$E$676, MATCH($B444, $B$302:$B$676, 0) * MATCH("Brazil", $A$302:$A$676, 0))</f>
        <v>184399.03464741001</v>
      </c>
      <c r="Q444" s="306">
        <f t="shared" si="31"/>
        <v>183857.12989985</v>
      </c>
      <c r="R444" s="336">
        <f>INDEX('Base GDP'!$A$1:$E$76,MATCH(A444,'Base GDP'!$A$1:$A$76,0),4)</f>
        <v>83456.391863790006</v>
      </c>
      <c r="S444" s="336">
        <f>INDEX('Base GDP'!$A$1:$E$76,MATCH(A444,'Base GDP'!$A$1:$A$76,0),5)</f>
        <v>87715.792114070005</v>
      </c>
      <c r="T444" s="335">
        <f t="shared" si="32"/>
        <v>9.029075266755485E-3</v>
      </c>
      <c r="U444" s="335">
        <f t="shared" si="33"/>
        <v>9.36594772537226E-3</v>
      </c>
      <c r="V444" s="335">
        <f t="shared" si="34"/>
        <v>3.3687245861677498E-4</v>
      </c>
    </row>
    <row r="445" spans="1:22" x14ac:dyDescent="0.45">
      <c r="A445" s="293" t="s">
        <v>176</v>
      </c>
      <c r="B445" s="297" t="s">
        <v>0</v>
      </c>
      <c r="C445" s="293" t="str">
        <f t="shared" si="30"/>
        <v>JordanManufacture of food products (C10)</v>
      </c>
      <c r="D445" s="297" t="s">
        <v>958</v>
      </c>
      <c r="E445" s="298">
        <v>1207.9373615899999</v>
      </c>
      <c r="F445" s="298">
        <v>811.75925665</v>
      </c>
      <c r="G445" s="302">
        <v>-0.32797901409267882</v>
      </c>
      <c r="H445" s="303">
        <v>59174.730464940003</v>
      </c>
      <c r="I445" s="298">
        <v>1433.1694740600001</v>
      </c>
      <c r="J445" s="298">
        <v>811.75925665</v>
      </c>
      <c r="K445" s="302">
        <v>-0.43359158051951685</v>
      </c>
      <c r="L445" s="298">
        <v>888.36473540999998</v>
      </c>
      <c r="M445" s="298">
        <v>962.32030849</v>
      </c>
      <c r="N445" s="298">
        <v>1026.90770823</v>
      </c>
      <c r="O445" s="306">
        <v>1207.74738987</v>
      </c>
      <c r="P445" s="306" cm="1">
        <f t="array" ref="P445">INDEX($E$302:$E$676, MATCH($B445, $B$302:$B$676, 0) * MATCH("Brazil", $A$302:$A$676, 0))</f>
        <v>184399.03464741001</v>
      </c>
      <c r="Q445" s="306">
        <f t="shared" si="31"/>
        <v>183191.09728582</v>
      </c>
      <c r="R445" s="336">
        <f>INDEX('Base GDP'!$A$1:$E$76,MATCH(A445,'Base GDP'!$A$1:$A$76,0),4)</f>
        <v>41181.394892199998</v>
      </c>
      <c r="S445" s="336">
        <f>INDEX('Base GDP'!$A$1:$E$76,MATCH(A445,'Base GDP'!$A$1:$A$76,0),5)</f>
        <v>44841.419332370002</v>
      </c>
      <c r="T445" s="335">
        <f t="shared" si="32"/>
        <v>3.480138246437716E-2</v>
      </c>
      <c r="U445" s="335">
        <f t="shared" si="33"/>
        <v>1.8102889443198544E-2</v>
      </c>
      <c r="V445" s="335">
        <f t="shared" si="34"/>
        <v>-1.6698493021178616E-2</v>
      </c>
    </row>
    <row r="446" spans="1:22" x14ac:dyDescent="0.45">
      <c r="A446" s="293" t="s">
        <v>166</v>
      </c>
      <c r="B446" s="297" t="s">
        <v>0</v>
      </c>
      <c r="C446" s="293" t="str">
        <f t="shared" si="30"/>
        <v>HondurasManufacture of food products (C10)</v>
      </c>
      <c r="D446" s="297" t="s">
        <v>958</v>
      </c>
      <c r="E446" s="298">
        <v>447.494551</v>
      </c>
      <c r="F446" s="298">
        <v>649.28138105000005</v>
      </c>
      <c r="G446" s="302">
        <v>0.450925781328676</v>
      </c>
      <c r="H446" s="303">
        <v>59935.173275529996</v>
      </c>
      <c r="I446" s="298">
        <v>572.81984752000005</v>
      </c>
      <c r="J446" s="298">
        <v>649.28138105000005</v>
      </c>
      <c r="K446" s="302">
        <v>0.13348268894843129</v>
      </c>
      <c r="L446" s="298">
        <v>738.16256456999997</v>
      </c>
      <c r="M446" s="298">
        <v>789.56750433000002</v>
      </c>
      <c r="N446" s="298">
        <v>836.00791656000001</v>
      </c>
      <c r="O446" s="306">
        <v>965.45794861000002</v>
      </c>
      <c r="P446" s="306" cm="1">
        <f t="array" ref="P446">INDEX($E$302:$E$676, MATCH($B446, $B$302:$B$676, 0) * MATCH("Brazil", $A$302:$A$676, 0))</f>
        <v>184399.03464741001</v>
      </c>
      <c r="Q446" s="306">
        <f t="shared" si="31"/>
        <v>183951.54009641</v>
      </c>
      <c r="R446" s="336">
        <f>INDEX('Base GDP'!$A$1:$E$76,MATCH(A446,'Base GDP'!$A$1:$A$76,0),4)</f>
        <v>21608.112082880001</v>
      </c>
      <c r="S446" s="336">
        <f>INDEX('Base GDP'!$A$1:$E$76,MATCH(A446,'Base GDP'!$A$1:$A$76,0),5)</f>
        <v>25703.55773198</v>
      </c>
      <c r="T446" s="335">
        <f t="shared" si="32"/>
        <v>2.6509481500414947E-2</v>
      </c>
      <c r="U446" s="335">
        <f t="shared" si="33"/>
        <v>2.526037009429918E-2</v>
      </c>
      <c r="V446" s="335">
        <f t="shared" si="34"/>
        <v>-1.2491114061157667E-3</v>
      </c>
    </row>
    <row r="447" spans="1:22" x14ac:dyDescent="0.45">
      <c r="A447" s="293" t="s">
        <v>148</v>
      </c>
      <c r="B447" s="297" t="s">
        <v>0</v>
      </c>
      <c r="C447" s="293" t="str">
        <f t="shared" si="30"/>
        <v>BahrainManufacture of food products (C10)</v>
      </c>
      <c r="D447" s="297" t="s">
        <v>958</v>
      </c>
      <c r="E447" s="298">
        <v>309.77039631999997</v>
      </c>
      <c r="F447" s="298">
        <v>382.58509244999999</v>
      </c>
      <c r="G447" s="302">
        <v>0.23506021555003831</v>
      </c>
      <c r="H447" s="303">
        <v>60072.897430210003</v>
      </c>
      <c r="I447" s="298">
        <v>342.88647453999999</v>
      </c>
      <c r="J447" s="298">
        <v>382.58509244999999</v>
      </c>
      <c r="K447" s="302">
        <v>0.11577773070010355</v>
      </c>
      <c r="L447" s="298">
        <v>419.06918125999999</v>
      </c>
      <c r="M447" s="298">
        <v>451.32805194999997</v>
      </c>
      <c r="N447" s="298">
        <v>481.26920229000001</v>
      </c>
      <c r="O447" s="306">
        <v>553.37765210999999</v>
      </c>
      <c r="P447" s="306" cm="1">
        <f t="array" ref="P447">INDEX($E$302:$E$676, MATCH($B447, $B$302:$B$676, 0) * MATCH("Brazil", $A$302:$A$676, 0))</f>
        <v>184399.03464741001</v>
      </c>
      <c r="Q447" s="306">
        <f t="shared" si="31"/>
        <v>184089.26425109</v>
      </c>
      <c r="R447" s="336">
        <f>INDEX('Base GDP'!$A$1:$E$76,MATCH(A447,'Base GDP'!$A$1:$A$76,0),4)</f>
        <v>33332.328188890002</v>
      </c>
      <c r="S447" s="336">
        <f>INDEX('Base GDP'!$A$1:$E$76,MATCH(A447,'Base GDP'!$A$1:$A$76,0),5)</f>
        <v>36767.801730239997</v>
      </c>
      <c r="T447" s="335">
        <f t="shared" si="32"/>
        <v>1.0286904430944835E-2</v>
      </c>
      <c r="U447" s="335">
        <f t="shared" si="33"/>
        <v>1.0405438303246167E-2</v>
      </c>
      <c r="V447" s="335">
        <f t="shared" si="34"/>
        <v>1.1853387230133239E-4</v>
      </c>
    </row>
    <row r="448" spans="1:22" x14ac:dyDescent="0.45">
      <c r="A448" s="293" t="s">
        <v>155</v>
      </c>
      <c r="B448" s="297" t="s">
        <v>0</v>
      </c>
      <c r="C448" s="293" t="str">
        <f t="shared" si="30"/>
        <v>QatarManufacture of food products (C10)</v>
      </c>
      <c r="D448" s="297" t="s">
        <v>958</v>
      </c>
      <c r="E448" s="298">
        <v>210.29658495999999</v>
      </c>
      <c r="F448" s="298">
        <v>337.48797680000001</v>
      </c>
      <c r="G448" s="302">
        <v>0.60481910281231044</v>
      </c>
      <c r="H448" s="303">
        <v>60172.371241569999</v>
      </c>
      <c r="I448" s="298">
        <v>294.92455898999998</v>
      </c>
      <c r="J448" s="298">
        <v>337.48797680000001</v>
      </c>
      <c r="K448" s="302">
        <v>0.14431967943179402</v>
      </c>
      <c r="L448" s="298">
        <v>399.3806371</v>
      </c>
      <c r="M448" s="298">
        <v>444.92895870000001</v>
      </c>
      <c r="N448" s="298">
        <v>468.36315138999998</v>
      </c>
      <c r="O448" s="306">
        <v>522.56908564000003</v>
      </c>
      <c r="P448" s="306" cm="1">
        <f t="array" ref="P448">INDEX($E$302:$E$676, MATCH($B448, $B$302:$B$676, 0) * MATCH("Brazil", $A$302:$A$676, 0))</f>
        <v>184399.03464741001</v>
      </c>
      <c r="Q448" s="306">
        <f t="shared" si="31"/>
        <v>184188.73806245002</v>
      </c>
      <c r="R448" s="336">
        <f>INDEX('Base GDP'!$A$1:$E$76,MATCH(A448,'Base GDP'!$A$1:$A$76,0),4)</f>
        <v>170576.82347613</v>
      </c>
      <c r="S448" s="336">
        <f>INDEX('Base GDP'!$A$1:$E$76,MATCH(A448,'Base GDP'!$A$1:$A$76,0),5)</f>
        <v>172715.39534024999</v>
      </c>
      <c r="T448" s="335">
        <f t="shared" si="32"/>
        <v>1.7289837680162384E-3</v>
      </c>
      <c r="U448" s="335">
        <f t="shared" si="33"/>
        <v>1.9540121257583748E-3</v>
      </c>
      <c r="V448" s="335">
        <f t="shared" si="34"/>
        <v>2.2502835774213643E-4</v>
      </c>
    </row>
    <row r="449" spans="1:22" x14ac:dyDescent="0.45">
      <c r="A449" s="293" t="s">
        <v>178</v>
      </c>
      <c r="B449" s="297" t="s">
        <v>0</v>
      </c>
      <c r="C449" s="293" t="str">
        <f t="shared" si="30"/>
        <v>SenegalManufacture of food products (C10)</v>
      </c>
      <c r="D449" s="297" t="s">
        <v>958</v>
      </c>
      <c r="E449" s="298">
        <v>231.90800553</v>
      </c>
      <c r="F449" s="298">
        <v>280.92733263000002</v>
      </c>
      <c r="G449" s="302">
        <v>0.21137401871044426</v>
      </c>
      <c r="H449" s="303">
        <v>60150.759821</v>
      </c>
      <c r="I449" s="298">
        <v>212.52658847000001</v>
      </c>
      <c r="J449" s="298">
        <v>280.92733263000002</v>
      </c>
      <c r="K449" s="302">
        <v>0.32184558483916659</v>
      </c>
      <c r="L449" s="298">
        <v>377.15905570000001</v>
      </c>
      <c r="M449" s="298">
        <v>471.64443229</v>
      </c>
      <c r="N449" s="298">
        <v>555.40413267999998</v>
      </c>
      <c r="O449" s="306">
        <v>822.32694272000003</v>
      </c>
      <c r="P449" s="306" cm="1">
        <f t="array" ref="P449">INDEX($E$302:$E$676, MATCH($B449, $B$302:$B$676, 0) * MATCH("Brazil", $A$302:$A$676, 0))</f>
        <v>184399.03464741001</v>
      </c>
      <c r="Q449" s="306">
        <f t="shared" si="31"/>
        <v>184167.12664188002</v>
      </c>
      <c r="R449" s="336">
        <f>INDEX('Base GDP'!$A$1:$E$76,MATCH(A449,'Base GDP'!$A$1:$A$76,0),4)</f>
        <v>18437.455260710001</v>
      </c>
      <c r="S449" s="336">
        <f>INDEX('Base GDP'!$A$1:$E$76,MATCH(A449,'Base GDP'!$A$1:$A$76,0),5)</f>
        <v>25150.80803964</v>
      </c>
      <c r="T449" s="335">
        <f t="shared" si="32"/>
        <v>1.1526893785765092E-2</v>
      </c>
      <c r="U449" s="335">
        <f t="shared" si="33"/>
        <v>1.1169713998342819E-2</v>
      </c>
      <c r="V449" s="335">
        <f t="shared" si="34"/>
        <v>-3.5717978742227235E-4</v>
      </c>
    </row>
    <row r="450" spans="1:22" x14ac:dyDescent="0.45">
      <c r="A450" s="293" t="s">
        <v>159</v>
      </c>
      <c r="B450" s="297" t="s">
        <v>0</v>
      </c>
      <c r="C450" s="293" t="str">
        <f t="shared" ref="C450:C513" si="35">A450&amp;B450</f>
        <v>KuwaitManufacture of food products (C10)</v>
      </c>
      <c r="D450" s="297" t="s">
        <v>958</v>
      </c>
      <c r="E450" s="298">
        <v>207.93741954999999</v>
      </c>
      <c r="F450" s="298">
        <v>223.93986717000001</v>
      </c>
      <c r="G450" s="302">
        <v>7.6957998491234081E-2</v>
      </c>
      <c r="H450" s="303">
        <v>60174.730406980001</v>
      </c>
      <c r="I450" s="298">
        <v>223.65140199000001</v>
      </c>
      <c r="J450" s="298">
        <v>223.93986717000001</v>
      </c>
      <c r="K450" s="302">
        <v>1.2897982191628632E-3</v>
      </c>
      <c r="L450" s="298">
        <v>245.02856645</v>
      </c>
      <c r="M450" s="298">
        <v>257.65308449000003</v>
      </c>
      <c r="N450" s="298">
        <v>261.76412105000003</v>
      </c>
      <c r="O450" s="306">
        <v>272.14394764999997</v>
      </c>
      <c r="P450" s="306" cm="1">
        <f t="array" ref="P450">INDEX($E$302:$E$676, MATCH($B450, $B$302:$B$676, 0) * MATCH("Brazil", $A$302:$A$676, 0))</f>
        <v>184399.03464741001</v>
      </c>
      <c r="Q450" s="306">
        <f t="shared" si="31"/>
        <v>184191.09722786001</v>
      </c>
      <c r="R450" s="336">
        <f>INDEX('Base GDP'!$A$1:$E$76,MATCH(A450,'Base GDP'!$A$1:$A$76,0),4)</f>
        <v>136318.13330372999</v>
      </c>
      <c r="S450" s="336">
        <f>INDEX('Base GDP'!$A$1:$E$76,MATCH(A450,'Base GDP'!$A$1:$A$76,0),5)</f>
        <v>128320.86664452001</v>
      </c>
      <c r="T450" s="335">
        <f t="shared" si="32"/>
        <v>1.6406577508781099E-3</v>
      </c>
      <c r="U450" s="335">
        <f t="shared" si="33"/>
        <v>1.7451555076413868E-3</v>
      </c>
      <c r="V450" s="335">
        <f t="shared" si="34"/>
        <v>1.0449775676327688E-4</v>
      </c>
    </row>
    <row r="451" spans="1:22" x14ac:dyDescent="0.45">
      <c r="A451" s="293" t="s">
        <v>179</v>
      </c>
      <c r="B451" s="297" t="s">
        <v>0</v>
      </c>
      <c r="C451" s="293" t="str">
        <f t="shared" si="35"/>
        <v>WorldManufacture of food products (C10)</v>
      </c>
      <c r="D451" s="297" t="s">
        <v>958</v>
      </c>
      <c r="E451" s="298">
        <v>1010804.0326306</v>
      </c>
      <c r="F451" s="298">
        <v>1365563.8512587999</v>
      </c>
      <c r="G451" s="302">
        <v>0.35096794945004683</v>
      </c>
      <c r="H451" s="303">
        <v>950421.36480406998</v>
      </c>
      <c r="I451" s="298">
        <v>1159751.0760385999</v>
      </c>
      <c r="J451" s="298">
        <v>1365563.8512587999</v>
      </c>
      <c r="K451" s="302">
        <v>0.17746288791832932</v>
      </c>
      <c r="L451" s="298">
        <v>1498212.073937</v>
      </c>
      <c r="M451" s="298">
        <v>1639767.0437288999</v>
      </c>
      <c r="N451" s="298">
        <v>1755792.7969926</v>
      </c>
      <c r="O451" s="306">
        <v>2044038.5147565999</v>
      </c>
      <c r="P451" s="306" cm="1">
        <f t="array" ref="P451">INDEX($E$302:$E$676, MATCH($B451, $B$302:$B$676, 0) * MATCH("Brazil", $A$302:$A$676, 0))</f>
        <v>184399.03464741001</v>
      </c>
      <c r="Q451" s="306">
        <f t="shared" ref="Q451:Q514" si="36">P451-E451</f>
        <v>-826404.99798319</v>
      </c>
      <c r="R451" s="336">
        <f>INDEX('Base GDP'!$A$1:$E$76,MATCH(A451,'Base GDP'!$A$1:$A$76,0),4)</f>
        <v>74892116.540485993</v>
      </c>
      <c r="S451" s="336">
        <f>INDEX('Base GDP'!$A$1:$E$76,MATCH(A451,'Base GDP'!$A$1:$A$76,0),5)</f>
        <v>87029234.955234006</v>
      </c>
      <c r="T451" s="335">
        <f t="shared" ref="T451:T514" si="37">I451/R451</f>
        <v>1.5485622914818399E-2</v>
      </c>
      <c r="U451" s="335">
        <f t="shared" ref="U451:U514" si="38">J451/S451</f>
        <v>1.5690863558219453E-2</v>
      </c>
      <c r="V451" s="335">
        <f t="shared" ref="V451:V514" si="39">U451-T451</f>
        <v>2.0524064340105355E-4</v>
      </c>
    </row>
    <row r="452" spans="1:22" x14ac:dyDescent="0.45">
      <c r="A452" s="293" t="s">
        <v>907</v>
      </c>
      <c r="B452" s="297" t="s">
        <v>6</v>
      </c>
      <c r="C452" s="293" t="str">
        <f t="shared" si="35"/>
        <v>ChinaManufacture of machinery and equipment n.e.c. (C28)</v>
      </c>
      <c r="D452" s="297" t="s">
        <v>958</v>
      </c>
      <c r="E452" s="298">
        <v>193518.90176102001</v>
      </c>
      <c r="F452" s="298">
        <v>442072.76715456002</v>
      </c>
      <c r="G452" s="302">
        <v>1.2843906364272555</v>
      </c>
      <c r="H452" s="303">
        <v>175129.82712384002</v>
      </c>
      <c r="I452" s="298">
        <v>273840.19581425999</v>
      </c>
      <c r="J452" s="298">
        <v>442072.76715456002</v>
      </c>
      <c r="K452" s="302">
        <v>0.61434578966781284</v>
      </c>
      <c r="L452" s="298">
        <v>535893.06682846998</v>
      </c>
      <c r="M452" s="298">
        <v>652165.36052607</v>
      </c>
      <c r="N452" s="298">
        <v>741479.00945572997</v>
      </c>
      <c r="O452" s="306">
        <v>960725.98496293998</v>
      </c>
      <c r="P452" s="306" cm="1">
        <f t="array" ref="P452">INDEX($E$302:$E$676, MATCH($B452, $B$302:$B$676, 0) * MATCH("Brazil", $A$302:$A$676, 0))</f>
        <v>193518.90176102001</v>
      </c>
      <c r="Q452" s="306">
        <f t="shared" si="36"/>
        <v>0</v>
      </c>
      <c r="R452" s="336">
        <f>INDEX('Base GDP'!$A$1:$E$76,MATCH(A452,'Base GDP'!$A$1:$A$76,0),4)</f>
        <v>11048064.947659001</v>
      </c>
      <c r="S452" s="336">
        <f>INDEX('Base GDP'!$A$1:$E$76,MATCH(A452,'Base GDP'!$A$1:$A$76,0),5)</f>
        <v>15827750.501527</v>
      </c>
      <c r="T452" s="335">
        <f t="shared" si="37"/>
        <v>2.478625868978844E-2</v>
      </c>
      <c r="U452" s="335">
        <f t="shared" si="38"/>
        <v>2.7930233491607701E-2</v>
      </c>
      <c r="V452" s="335">
        <f t="shared" si="39"/>
        <v>3.1439748018192611E-3</v>
      </c>
    </row>
    <row r="453" spans="1:22" x14ac:dyDescent="0.45">
      <c r="A453" s="293" t="s">
        <v>141</v>
      </c>
      <c r="B453" s="297" t="s">
        <v>6</v>
      </c>
      <c r="C453" s="293" t="str">
        <f t="shared" si="35"/>
        <v>United StatesManufacture of machinery and equipment n.e.c. (C28)</v>
      </c>
      <c r="D453" s="297" t="s">
        <v>958</v>
      </c>
      <c r="E453" s="298">
        <v>163459.42612987</v>
      </c>
      <c r="F453" s="298">
        <v>172755.81521038999</v>
      </c>
      <c r="G453" s="302">
        <v>5.6872762254370768E-2</v>
      </c>
      <c r="H453" s="303">
        <v>145070.35149269001</v>
      </c>
      <c r="I453" s="298">
        <v>166917.75456927001</v>
      </c>
      <c r="J453" s="298">
        <v>172755.81521038999</v>
      </c>
      <c r="K453" s="302">
        <v>3.4975672037915073E-2</v>
      </c>
      <c r="L453" s="298">
        <v>174765.04294804999</v>
      </c>
      <c r="M453" s="298">
        <v>182125.00251953999</v>
      </c>
      <c r="N453" s="298">
        <v>187624.40222105</v>
      </c>
      <c r="O453" s="306">
        <v>203324.45348627999</v>
      </c>
      <c r="P453" s="306" cm="1">
        <f t="array" ref="P453">INDEX($E$302:$E$676, MATCH($B453, $B$302:$B$676, 0) * MATCH("Brazil", $A$302:$A$676, 0))</f>
        <v>193518.90176102001</v>
      </c>
      <c r="Q453" s="306">
        <f t="shared" si="36"/>
        <v>30059.47563115001</v>
      </c>
      <c r="R453" s="336">
        <f>INDEX('Base GDP'!$A$1:$E$76,MATCH(A453,'Base GDP'!$A$1:$A$76,0),4)</f>
        <v>19553083.060252</v>
      </c>
      <c r="S453" s="336">
        <f>INDEX('Base GDP'!$A$1:$E$76,MATCH(A453,'Base GDP'!$A$1:$A$76,0),5)</f>
        <v>22265681.170655001</v>
      </c>
      <c r="T453" s="335">
        <f t="shared" si="37"/>
        <v>8.5366463209367027E-3</v>
      </c>
      <c r="U453" s="335">
        <f t="shared" si="38"/>
        <v>7.7588380919633888E-3</v>
      </c>
      <c r="V453" s="335">
        <f t="shared" si="39"/>
        <v>-7.7780822897331389E-4</v>
      </c>
    </row>
    <row r="454" spans="1:22" x14ac:dyDescent="0.45">
      <c r="A454" s="293" t="s">
        <v>100</v>
      </c>
      <c r="B454" s="297" t="s">
        <v>6</v>
      </c>
      <c r="C454" s="293" t="str">
        <f t="shared" si="35"/>
        <v>JapanManufacture of machinery and equipment n.e.c. (C28)</v>
      </c>
      <c r="D454" s="297" t="s">
        <v>958</v>
      </c>
      <c r="E454" s="298">
        <v>134115.32272639999</v>
      </c>
      <c r="F454" s="298">
        <v>160046.20984222999</v>
      </c>
      <c r="G454" s="302">
        <v>0.19334768457985918</v>
      </c>
      <c r="H454" s="303">
        <v>115726.24808921998</v>
      </c>
      <c r="I454" s="298">
        <v>153505.60606214</v>
      </c>
      <c r="J454" s="298">
        <v>160046.20984222999</v>
      </c>
      <c r="K454" s="302">
        <v>4.2608240492808536E-2</v>
      </c>
      <c r="L454" s="298">
        <v>161484.97752606001</v>
      </c>
      <c r="M454" s="298">
        <v>167976.87480967</v>
      </c>
      <c r="N454" s="298">
        <v>173294.69972159</v>
      </c>
      <c r="O454" s="306">
        <v>184807.51838805</v>
      </c>
      <c r="P454" s="306" cm="1">
        <f t="array" ref="P454">INDEX($E$302:$E$676, MATCH($B454, $B$302:$B$676, 0) * MATCH("Brazil", $A$302:$A$676, 0))</f>
        <v>193518.90176102001</v>
      </c>
      <c r="Q454" s="306">
        <f t="shared" si="36"/>
        <v>59403.579034620023</v>
      </c>
      <c r="R454" s="336">
        <f>INDEX('Base GDP'!$A$1:$E$76,MATCH(A454,'Base GDP'!$A$1:$A$76,0),4)</f>
        <v>4983596.864085</v>
      </c>
      <c r="S454" s="336">
        <f>INDEX('Base GDP'!$A$1:$E$76,MATCH(A454,'Base GDP'!$A$1:$A$76,0),5)</f>
        <v>5032370.4042106001</v>
      </c>
      <c r="T454" s="335">
        <f t="shared" si="37"/>
        <v>3.0802171654051712E-2</v>
      </c>
      <c r="U454" s="335">
        <f t="shared" si="38"/>
        <v>3.1803344544813081E-2</v>
      </c>
      <c r="V454" s="335">
        <f t="shared" si="39"/>
        <v>1.001172890761369E-3</v>
      </c>
    </row>
    <row r="455" spans="1:22" x14ac:dyDescent="0.45">
      <c r="A455" s="293" t="s">
        <v>98</v>
      </c>
      <c r="B455" s="297" t="s">
        <v>6</v>
      </c>
      <c r="C455" s="293" t="str">
        <f t="shared" si="35"/>
        <v>GermanyManufacture of machinery and equipment n.e.c. (C28)</v>
      </c>
      <c r="D455" s="297" t="s">
        <v>958</v>
      </c>
      <c r="E455" s="298">
        <v>99035.978393779995</v>
      </c>
      <c r="F455" s="298">
        <v>107974.64885122</v>
      </c>
      <c r="G455" s="302">
        <v>9.0256799623856798E-2</v>
      </c>
      <c r="H455" s="303">
        <v>80646.90375659999</v>
      </c>
      <c r="I455" s="298">
        <v>108105.5672644</v>
      </c>
      <c r="J455" s="298">
        <v>107974.64885122</v>
      </c>
      <c r="K455" s="302">
        <v>-1.2110237843699911E-3</v>
      </c>
      <c r="L455" s="298">
        <v>112202.9741217</v>
      </c>
      <c r="M455" s="298">
        <v>117913.19517951</v>
      </c>
      <c r="N455" s="298">
        <v>121545.61676655999</v>
      </c>
      <c r="O455" s="306">
        <v>128448.23327778</v>
      </c>
      <c r="P455" s="306" cm="1">
        <f t="array" ref="P455">INDEX($E$302:$E$676, MATCH($B455, $B$302:$B$676, 0) * MATCH("Brazil", $A$302:$A$676, 0))</f>
        <v>193518.90176102001</v>
      </c>
      <c r="Q455" s="306">
        <f t="shared" si="36"/>
        <v>94482.923367240015</v>
      </c>
      <c r="R455" s="336">
        <f>INDEX('Base GDP'!$A$1:$E$76,MATCH(A455,'Base GDP'!$A$1:$A$76,0),4)</f>
        <v>3626843.1759532001</v>
      </c>
      <c r="S455" s="336">
        <f>INDEX('Base GDP'!$A$1:$E$76,MATCH(A455,'Base GDP'!$A$1:$A$76,0),5)</f>
        <v>3849084.4984781002</v>
      </c>
      <c r="T455" s="335">
        <f t="shared" si="37"/>
        <v>2.9807069680091117E-2</v>
      </c>
      <c r="U455" s="335">
        <f t="shared" si="38"/>
        <v>2.8052033904143282E-2</v>
      </c>
      <c r="V455" s="335">
        <f t="shared" si="39"/>
        <v>-1.7550357759478358E-3</v>
      </c>
    </row>
    <row r="456" spans="1:22" x14ac:dyDescent="0.45">
      <c r="A456" s="293" t="s">
        <v>101</v>
      </c>
      <c r="B456" s="297" t="s">
        <v>6</v>
      </c>
      <c r="C456" s="293" t="str">
        <f t="shared" si="35"/>
        <v>ItalyManufacture of machinery and equipment n.e.c. (C28)</v>
      </c>
      <c r="D456" s="297" t="s">
        <v>958</v>
      </c>
      <c r="E456" s="298">
        <v>37859.424298170001</v>
      </c>
      <c r="F456" s="298">
        <v>43734.811177750002</v>
      </c>
      <c r="G456" s="302">
        <v>0.15518954628858417</v>
      </c>
      <c r="H456" s="303">
        <v>19470.349660989999</v>
      </c>
      <c r="I456" s="298">
        <v>39937.89884414</v>
      </c>
      <c r="J456" s="298">
        <v>43734.811177750002</v>
      </c>
      <c r="K456" s="302">
        <v>9.5070407895710085E-2</v>
      </c>
      <c r="L456" s="298">
        <v>47847.482968210003</v>
      </c>
      <c r="M456" s="298">
        <v>49997.497251380002</v>
      </c>
      <c r="N456" s="298">
        <v>51709.143020030002</v>
      </c>
      <c r="O456" s="306">
        <v>55546.020041019998</v>
      </c>
      <c r="P456" s="306" cm="1">
        <f t="array" ref="P456">INDEX($E$302:$E$676, MATCH($B456, $B$302:$B$676, 0) * MATCH("Brazil", $A$302:$A$676, 0))</f>
        <v>193518.90176102001</v>
      </c>
      <c r="Q456" s="306">
        <f t="shared" si="36"/>
        <v>155659.47746285002</v>
      </c>
      <c r="R456" s="336">
        <f>INDEX('Base GDP'!$A$1:$E$76,MATCH(A456,'Base GDP'!$A$1:$A$76,0),4)</f>
        <v>1924364.2462229</v>
      </c>
      <c r="S456" s="336">
        <f>INDEX('Base GDP'!$A$1:$E$76,MATCH(A456,'Base GDP'!$A$1:$A$76,0),5)</f>
        <v>1980878.3634254001</v>
      </c>
      <c r="T456" s="335">
        <f t="shared" si="37"/>
        <v>2.0753814628664626E-2</v>
      </c>
      <c r="U456" s="335">
        <f t="shared" si="38"/>
        <v>2.2078494058626764E-2</v>
      </c>
      <c r="V456" s="335">
        <f t="shared" si="39"/>
        <v>1.3246794299621376E-3</v>
      </c>
    </row>
    <row r="457" spans="1:22" x14ac:dyDescent="0.45">
      <c r="A457" s="293" t="s">
        <v>104</v>
      </c>
      <c r="B457" s="297" t="s">
        <v>6</v>
      </c>
      <c r="C457" s="293" t="str">
        <f t="shared" si="35"/>
        <v>South KoreaManufacture of machinery and equipment n.e.c. (C28)</v>
      </c>
      <c r="D457" s="297" t="s">
        <v>958</v>
      </c>
      <c r="E457" s="298">
        <v>29962.191369870001</v>
      </c>
      <c r="F457" s="298">
        <v>42997.644424229999</v>
      </c>
      <c r="G457" s="302">
        <v>0.43506340685976852</v>
      </c>
      <c r="H457" s="303">
        <v>11573.116732689999</v>
      </c>
      <c r="I457" s="298">
        <v>33729.719946259997</v>
      </c>
      <c r="J457" s="298">
        <v>42997.644424229999</v>
      </c>
      <c r="K457" s="302">
        <v>0.27477027656132802</v>
      </c>
      <c r="L457" s="298">
        <v>46225.134817769998</v>
      </c>
      <c r="M457" s="298">
        <v>50217.926824380003</v>
      </c>
      <c r="N457" s="298">
        <v>53146.444966280003</v>
      </c>
      <c r="O457" s="306">
        <v>60132.117619980003</v>
      </c>
      <c r="P457" s="306" cm="1">
        <f t="array" ref="P457">INDEX($E$302:$E$676, MATCH($B457, $B$302:$B$676, 0) * MATCH("Brazil", $A$302:$A$676, 0))</f>
        <v>193518.90176102001</v>
      </c>
      <c r="Q457" s="306">
        <f t="shared" si="36"/>
        <v>163556.71039115</v>
      </c>
      <c r="R457" s="336">
        <f>INDEX('Base GDP'!$A$1:$E$76,MATCH(A457,'Base GDP'!$A$1:$A$76,0),4)</f>
        <v>1478297.0807395</v>
      </c>
      <c r="S457" s="336">
        <f>INDEX('Base GDP'!$A$1:$E$76,MATCH(A457,'Base GDP'!$A$1:$A$76,0),5)</f>
        <v>1710728.7967964001</v>
      </c>
      <c r="T457" s="335">
        <f t="shared" si="37"/>
        <v>2.281660458220422E-2</v>
      </c>
      <c r="U457" s="335">
        <f t="shared" si="38"/>
        <v>2.5134109219853918E-2</v>
      </c>
      <c r="V457" s="335">
        <f t="shared" si="39"/>
        <v>2.3175046376496984E-3</v>
      </c>
    </row>
    <row r="458" spans="1:22" x14ac:dyDescent="0.45">
      <c r="A458" s="293" t="s">
        <v>76</v>
      </c>
      <c r="B458" s="297" t="s">
        <v>6</v>
      </c>
      <c r="C458" s="293" t="str">
        <f t="shared" si="35"/>
        <v>United KingdomManufacture of machinery and equipment n.e.c. (C28)</v>
      </c>
      <c r="D458" s="297" t="s">
        <v>958</v>
      </c>
      <c r="E458" s="298">
        <v>18829.060878979999</v>
      </c>
      <c r="F458" s="298">
        <v>20152.225242690001</v>
      </c>
      <c r="G458" s="302">
        <v>7.027245661450543E-2</v>
      </c>
      <c r="H458" s="303">
        <v>439.98624179999752</v>
      </c>
      <c r="I458" s="298">
        <v>18983.06053223</v>
      </c>
      <c r="J458" s="298">
        <v>20152.225242690001</v>
      </c>
      <c r="K458" s="302">
        <v>6.1589895289801078E-2</v>
      </c>
      <c r="L458" s="298">
        <v>16874.42912406</v>
      </c>
      <c r="M458" s="298">
        <v>17465.779088619998</v>
      </c>
      <c r="N458" s="298">
        <v>17873.26703046</v>
      </c>
      <c r="O458" s="306">
        <v>19113.64938286</v>
      </c>
      <c r="P458" s="306" cm="1">
        <f t="array" ref="P458">INDEX($E$302:$E$676, MATCH($B458, $B$302:$B$676, 0) * MATCH("Brazil", $A$302:$A$676, 0))</f>
        <v>193518.90176102001</v>
      </c>
      <c r="Q458" s="306">
        <f t="shared" si="36"/>
        <v>174689.84088204001</v>
      </c>
      <c r="R458" s="336">
        <f>INDEX('Base GDP'!$A$1:$E$76,MATCH(A458,'Base GDP'!$A$1:$A$76,0),4)</f>
        <v>2643868.3114987002</v>
      </c>
      <c r="S458" s="336">
        <f>INDEX('Base GDP'!$A$1:$E$76,MATCH(A458,'Base GDP'!$A$1:$A$76,0),5)</f>
        <v>2777419.6130784</v>
      </c>
      <c r="T458" s="335">
        <f t="shared" si="37"/>
        <v>7.1800325491511658E-3</v>
      </c>
      <c r="U458" s="335">
        <f t="shared" si="38"/>
        <v>7.2557366369116767E-3</v>
      </c>
      <c r="V458" s="335">
        <f t="shared" si="39"/>
        <v>7.5704087760510887E-5</v>
      </c>
    </row>
    <row r="459" spans="1:22" x14ac:dyDescent="0.45">
      <c r="A459" s="293" t="s">
        <v>66</v>
      </c>
      <c r="B459" s="297" t="s">
        <v>6</v>
      </c>
      <c r="C459" s="293" t="str">
        <f t="shared" si="35"/>
        <v>NetherlandsManufacture of machinery and equipment n.e.c. (C28)</v>
      </c>
      <c r="D459" s="297" t="s">
        <v>958</v>
      </c>
      <c r="E459" s="298">
        <v>10299.218453830001</v>
      </c>
      <c r="F459" s="298">
        <v>17509.209972820001</v>
      </c>
      <c r="G459" s="302">
        <v>0.70005229535730451</v>
      </c>
      <c r="H459" s="303">
        <v>8089.8561833500007</v>
      </c>
      <c r="I459" s="298">
        <v>11561.572216459999</v>
      </c>
      <c r="J459" s="298">
        <v>17509.209972820001</v>
      </c>
      <c r="K459" s="302">
        <v>0.51443157081114443</v>
      </c>
      <c r="L459" s="298">
        <v>18592.842669770002</v>
      </c>
      <c r="M459" s="298">
        <v>20034.352799879998</v>
      </c>
      <c r="N459" s="298">
        <v>21069.12840998</v>
      </c>
      <c r="O459" s="306">
        <v>23491.470299299999</v>
      </c>
      <c r="P459" s="306" cm="1">
        <f t="array" ref="P459">INDEX($E$302:$E$676, MATCH($B459, $B$302:$B$676, 0) * MATCH("Brazil", $A$302:$A$676, 0))</f>
        <v>193518.90176102001</v>
      </c>
      <c r="Q459" s="306">
        <f t="shared" si="36"/>
        <v>183219.68330719002</v>
      </c>
      <c r="R459" s="336">
        <f>INDEX('Base GDP'!$A$1:$E$76,MATCH(A459,'Base GDP'!$A$1:$A$76,0),4)</f>
        <v>829203.89806390996</v>
      </c>
      <c r="S459" s="336">
        <f>INDEX('Base GDP'!$A$1:$E$76,MATCH(A459,'Base GDP'!$A$1:$A$76,0),5)</f>
        <v>928325.09368340997</v>
      </c>
      <c r="T459" s="335">
        <f t="shared" si="37"/>
        <v>1.3942978612926038E-2</v>
      </c>
      <c r="U459" s="335">
        <f t="shared" si="38"/>
        <v>1.8861075814881754E-2</v>
      </c>
      <c r="V459" s="335">
        <f t="shared" si="39"/>
        <v>4.9180972019557158E-3</v>
      </c>
    </row>
    <row r="460" spans="1:22" x14ac:dyDescent="0.45">
      <c r="A460" s="294" t="s">
        <v>18</v>
      </c>
      <c r="B460" s="299" t="s">
        <v>6</v>
      </c>
      <c r="C460" s="293" t="str">
        <f t="shared" si="35"/>
        <v>BrazilManufacture of machinery and equipment n.e.c. (C28)</v>
      </c>
      <c r="D460" s="297" t="s">
        <v>958</v>
      </c>
      <c r="E460" s="300">
        <v>18389.074637180001</v>
      </c>
      <c r="F460" s="300">
        <v>14090.01815631</v>
      </c>
      <c r="G460" s="304">
        <v>-0.23378318733765657</v>
      </c>
      <c r="H460" s="305">
        <v>0</v>
      </c>
      <c r="I460" s="300">
        <v>13623.34599752</v>
      </c>
      <c r="J460" s="300">
        <v>14090.01815631</v>
      </c>
      <c r="K460" s="304">
        <v>3.4255326031868538E-2</v>
      </c>
      <c r="L460" s="300">
        <v>13955.3174249</v>
      </c>
      <c r="M460" s="300">
        <v>15820.378170460001</v>
      </c>
      <c r="N460" s="300">
        <v>17346.675040689999</v>
      </c>
      <c r="O460" s="307">
        <v>21192.320429020001</v>
      </c>
      <c r="P460" s="306" cm="1">
        <f t="array" ref="P460">INDEX($E$302:$E$676, MATCH($B460, $B$302:$B$676, 0) * MATCH("Brazil", $A$302:$A$676, 0))</f>
        <v>193518.90176102001</v>
      </c>
      <c r="Q460" s="306">
        <f t="shared" si="36"/>
        <v>175129.82712384002</v>
      </c>
      <c r="R460" s="336">
        <f>INDEX('Base GDP'!$A$1:$E$76,MATCH(A460,'Base GDP'!$A$1:$A$76,0),4)</f>
        <v>1855726.8356911</v>
      </c>
      <c r="S460" s="336">
        <f>INDEX('Base GDP'!$A$1:$E$76,MATCH(A460,'Base GDP'!$A$1:$A$76,0),5)</f>
        <v>1898091.4722179</v>
      </c>
      <c r="T460" s="335">
        <f t="shared" si="37"/>
        <v>7.3412453468381655E-3</v>
      </c>
      <c r="U460" s="335">
        <f t="shared" si="38"/>
        <v>7.4232556030853249E-3</v>
      </c>
      <c r="V460" s="335">
        <f t="shared" si="39"/>
        <v>8.2010256247159324E-5</v>
      </c>
    </row>
    <row r="461" spans="1:22" x14ac:dyDescent="0.45">
      <c r="A461" s="293" t="s">
        <v>97</v>
      </c>
      <c r="B461" s="297" t="s">
        <v>6</v>
      </c>
      <c r="C461" s="293" t="str">
        <f t="shared" si="35"/>
        <v>FranceManufacture of machinery and equipment n.e.c. (C28)</v>
      </c>
      <c r="D461" s="297" t="s">
        <v>958</v>
      </c>
      <c r="E461" s="298">
        <v>14078.9039154</v>
      </c>
      <c r="F461" s="298">
        <v>13612.26106458</v>
      </c>
      <c r="G461" s="302">
        <v>-3.3144828150263206E-2</v>
      </c>
      <c r="H461" s="303">
        <v>4310.1707217800013</v>
      </c>
      <c r="I461" s="298">
        <v>14544.322409029999</v>
      </c>
      <c r="J461" s="298">
        <v>13612.26106458</v>
      </c>
      <c r="K461" s="302">
        <v>-6.4084205385279369E-2</v>
      </c>
      <c r="L461" s="298">
        <v>14732.78154842</v>
      </c>
      <c r="M461" s="298">
        <v>15364.78392588</v>
      </c>
      <c r="N461" s="298">
        <v>15897.087448169999</v>
      </c>
      <c r="O461" s="306">
        <v>17243.569703839999</v>
      </c>
      <c r="P461" s="306" cm="1">
        <f t="array" ref="P461">INDEX($E$302:$E$676, MATCH($B461, $B$302:$B$676, 0) * MATCH("Brazil", $A$302:$A$676, 0))</f>
        <v>193518.90176102001</v>
      </c>
      <c r="Q461" s="306">
        <f t="shared" si="36"/>
        <v>179439.99784562</v>
      </c>
      <c r="R461" s="336">
        <f>INDEX('Base GDP'!$A$1:$E$76,MATCH(A461,'Base GDP'!$A$1:$A$76,0),4)</f>
        <v>2544956.5086996001</v>
      </c>
      <c r="S461" s="336">
        <f>INDEX('Base GDP'!$A$1:$E$76,MATCH(A461,'Base GDP'!$A$1:$A$76,0),5)</f>
        <v>2682424.2983101001</v>
      </c>
      <c r="T461" s="335">
        <f t="shared" si="37"/>
        <v>5.7149591198561315E-3</v>
      </c>
      <c r="U461" s="335">
        <f t="shared" si="38"/>
        <v>5.0746114524669291E-3</v>
      </c>
      <c r="V461" s="335">
        <f t="shared" si="39"/>
        <v>-6.4034766738920237E-4</v>
      </c>
    </row>
    <row r="462" spans="1:22" x14ac:dyDescent="0.45">
      <c r="A462" s="293" t="s">
        <v>63</v>
      </c>
      <c r="B462" s="297" t="s">
        <v>6</v>
      </c>
      <c r="C462" s="293" t="str">
        <f t="shared" si="35"/>
        <v>CanadaManufacture of machinery and equipment n.e.c. (C28)</v>
      </c>
      <c r="D462" s="297" t="s">
        <v>958</v>
      </c>
      <c r="E462" s="298">
        <v>9534.6611002499994</v>
      </c>
      <c r="F462" s="298">
        <v>12365.606797689999</v>
      </c>
      <c r="G462" s="302">
        <v>0.29691099323559311</v>
      </c>
      <c r="H462" s="303">
        <v>8854.413536930002</v>
      </c>
      <c r="I462" s="298">
        <v>11639.42094443</v>
      </c>
      <c r="J462" s="298">
        <v>12365.606797689999</v>
      </c>
      <c r="K462" s="302">
        <v>6.2390204523663506E-2</v>
      </c>
      <c r="L462" s="298">
        <v>14538.39540748</v>
      </c>
      <c r="M462" s="298">
        <v>15354.351385219999</v>
      </c>
      <c r="N462" s="298">
        <v>15962.43673693</v>
      </c>
      <c r="O462" s="306">
        <v>17712.091040989999</v>
      </c>
      <c r="P462" s="306" cm="1">
        <f t="array" ref="P462">INDEX($E$302:$E$676, MATCH($B462, $B$302:$B$676, 0) * MATCH("Brazil", $A$302:$A$676, 0))</f>
        <v>193518.90176102001</v>
      </c>
      <c r="Q462" s="306">
        <f t="shared" si="36"/>
        <v>183984.24066077001</v>
      </c>
      <c r="R462" s="336">
        <f>INDEX('Base GDP'!$A$1:$E$76,MATCH(A462,'Base GDP'!$A$1:$A$76,0),4)</f>
        <v>1599989.9756132001</v>
      </c>
      <c r="S462" s="336">
        <f>INDEX('Base GDP'!$A$1:$E$76,MATCH(A462,'Base GDP'!$A$1:$A$76,0),5)</f>
        <v>1743385.5162593001</v>
      </c>
      <c r="T462" s="335">
        <f t="shared" si="37"/>
        <v>7.2746836679205831E-3</v>
      </c>
      <c r="U462" s="335">
        <f t="shared" si="38"/>
        <v>7.092869983354168E-3</v>
      </c>
      <c r="V462" s="335">
        <f t="shared" si="39"/>
        <v>-1.8181368456641513E-4</v>
      </c>
    </row>
    <row r="463" spans="1:22" x14ac:dyDescent="0.45">
      <c r="A463" s="293" t="s">
        <v>70</v>
      </c>
      <c r="B463" s="297" t="s">
        <v>6</v>
      </c>
      <c r="C463" s="293" t="str">
        <f t="shared" si="35"/>
        <v>IndiaManufacture of machinery and equipment n.e.c. (C28)</v>
      </c>
      <c r="D463" s="297" t="s">
        <v>958</v>
      </c>
      <c r="E463" s="298">
        <v>10216.59289428</v>
      </c>
      <c r="F463" s="298">
        <v>12260.59390403</v>
      </c>
      <c r="G463" s="302">
        <v>0.20006679632839064</v>
      </c>
      <c r="H463" s="303">
        <v>8172.4817429000013</v>
      </c>
      <c r="I463" s="298">
        <v>10772.82026316</v>
      </c>
      <c r="J463" s="298">
        <v>12260.59390403</v>
      </c>
      <c r="K463" s="302">
        <v>0.13810437791835861</v>
      </c>
      <c r="L463" s="298">
        <v>16589.549451489998</v>
      </c>
      <c r="M463" s="298">
        <v>20636.435257730001</v>
      </c>
      <c r="N463" s="298">
        <v>23795.034128589999</v>
      </c>
      <c r="O463" s="306">
        <v>32054.42767565</v>
      </c>
      <c r="P463" s="306" cm="1">
        <f t="array" ref="P463">INDEX($E$302:$E$676, MATCH($B463, $B$302:$B$676, 0) * MATCH("Brazil", $A$302:$A$676, 0))</f>
        <v>193518.90176102001</v>
      </c>
      <c r="Q463" s="306">
        <f t="shared" si="36"/>
        <v>183302.30886674</v>
      </c>
      <c r="R463" s="336">
        <f>INDEX('Base GDP'!$A$1:$E$76,MATCH(A463,'Base GDP'!$A$1:$A$76,0),4)</f>
        <v>2233583.9807687998</v>
      </c>
      <c r="S463" s="336">
        <f>INDEX('Base GDP'!$A$1:$E$76,MATCH(A463,'Base GDP'!$A$1:$A$76,0),5)</f>
        <v>2928405.219999</v>
      </c>
      <c r="T463" s="335">
        <f t="shared" si="37"/>
        <v>4.8231095655745142E-3</v>
      </c>
      <c r="U463" s="335">
        <f t="shared" si="38"/>
        <v>4.1867818771454679E-3</v>
      </c>
      <c r="V463" s="335">
        <f t="shared" si="39"/>
        <v>-6.3632768842904631E-4</v>
      </c>
    </row>
    <row r="464" spans="1:22" x14ac:dyDescent="0.45">
      <c r="A464" s="293" t="s">
        <v>72</v>
      </c>
      <c r="B464" s="297" t="s">
        <v>6</v>
      </c>
      <c r="C464" s="293" t="str">
        <f t="shared" si="35"/>
        <v>AustriaManufacture of machinery and equipment n.e.c. (C28)</v>
      </c>
      <c r="D464" s="297" t="s">
        <v>958</v>
      </c>
      <c r="E464" s="298">
        <v>7864.4625586700004</v>
      </c>
      <c r="F464" s="298">
        <v>11989.377056400001</v>
      </c>
      <c r="G464" s="302">
        <v>0.52450049408431365</v>
      </c>
      <c r="H464" s="303">
        <v>10524.612078510001</v>
      </c>
      <c r="I464" s="298">
        <v>9647.2481167599999</v>
      </c>
      <c r="J464" s="298">
        <v>11989.377056400001</v>
      </c>
      <c r="K464" s="302">
        <v>0.24277689464325691</v>
      </c>
      <c r="L464" s="298">
        <v>13936.47517974</v>
      </c>
      <c r="M464" s="298">
        <v>15105.66798152</v>
      </c>
      <c r="N464" s="298">
        <v>16047.20791232</v>
      </c>
      <c r="O464" s="306">
        <v>18035.140317450001</v>
      </c>
      <c r="P464" s="306" cm="1">
        <f t="array" ref="P464">INDEX($E$302:$E$676, MATCH($B464, $B$302:$B$676, 0) * MATCH("Brazil", $A$302:$A$676, 0))</f>
        <v>193518.90176102001</v>
      </c>
      <c r="Q464" s="306">
        <f t="shared" si="36"/>
        <v>185654.43920235001</v>
      </c>
      <c r="R464" s="336">
        <f>INDEX('Base GDP'!$A$1:$E$76,MATCH(A464,'Base GDP'!$A$1:$A$76,0),4)</f>
        <v>410010.85265116999</v>
      </c>
      <c r="S464" s="336">
        <f>INDEX('Base GDP'!$A$1:$E$76,MATCH(A464,'Base GDP'!$A$1:$A$76,0),5)</f>
        <v>432694.04992214998</v>
      </c>
      <c r="T464" s="335">
        <f t="shared" si="37"/>
        <v>2.3529250639050057E-2</v>
      </c>
      <c r="U464" s="335">
        <f t="shared" si="38"/>
        <v>2.7708670961750274E-2</v>
      </c>
      <c r="V464" s="335">
        <f t="shared" si="39"/>
        <v>4.1794203227002169E-3</v>
      </c>
    </row>
    <row r="465" spans="1:22" x14ac:dyDescent="0.45">
      <c r="A465" s="293" t="s">
        <v>67</v>
      </c>
      <c r="B465" s="297" t="s">
        <v>6</v>
      </c>
      <c r="C465" s="293" t="str">
        <f t="shared" si="35"/>
        <v>SwitzerlandManufacture of machinery and equipment n.e.c. (C28)</v>
      </c>
      <c r="D465" s="297" t="s">
        <v>958</v>
      </c>
      <c r="E465" s="298">
        <v>11388.646235419999</v>
      </c>
      <c r="F465" s="298">
        <v>11699.09984162</v>
      </c>
      <c r="G465" s="302">
        <v>2.7259921836403578E-2</v>
      </c>
      <c r="H465" s="303">
        <v>7000.4284017600021</v>
      </c>
      <c r="I465" s="298">
        <v>11285.365378160001</v>
      </c>
      <c r="J465" s="298">
        <v>11699.09984162</v>
      </c>
      <c r="K465" s="302">
        <v>3.6661149160547302E-2</v>
      </c>
      <c r="L465" s="298">
        <v>12804.249597219999</v>
      </c>
      <c r="M465" s="298">
        <v>13487.591375849999</v>
      </c>
      <c r="N465" s="298">
        <v>13997.941569799999</v>
      </c>
      <c r="O465" s="306">
        <v>15135.467456410001</v>
      </c>
      <c r="P465" s="306" cm="1">
        <f t="array" ref="P465">INDEX($E$302:$E$676, MATCH($B465, $B$302:$B$676, 0) * MATCH("Brazil", $A$302:$A$676, 0))</f>
        <v>193518.90176102001</v>
      </c>
      <c r="Q465" s="306">
        <f t="shared" si="36"/>
        <v>182130.25552560002</v>
      </c>
      <c r="R465" s="336">
        <f>INDEX('Base GDP'!$A$1:$E$76,MATCH(A465,'Base GDP'!$A$1:$A$76,0),4)</f>
        <v>669989.49931316997</v>
      </c>
      <c r="S465" s="336">
        <f>INDEX('Base GDP'!$A$1:$E$76,MATCH(A465,'Base GDP'!$A$1:$A$76,0),5)</f>
        <v>743458.79269773001</v>
      </c>
      <c r="T465" s="335">
        <f t="shared" si="37"/>
        <v>1.6844092914484524E-2</v>
      </c>
      <c r="U465" s="335">
        <f t="shared" si="38"/>
        <v>1.573604341831563E-2</v>
      </c>
      <c r="V465" s="335">
        <f t="shared" si="39"/>
        <v>-1.108049496168894E-3</v>
      </c>
    </row>
    <row r="466" spans="1:22" x14ac:dyDescent="0.45">
      <c r="A466" s="293" t="s">
        <v>73</v>
      </c>
      <c r="B466" s="297" t="s">
        <v>6</v>
      </c>
      <c r="C466" s="293" t="str">
        <f t="shared" si="35"/>
        <v>TaiwanManufacture of machinery and equipment n.e.c. (C28)</v>
      </c>
      <c r="D466" s="297" t="s">
        <v>958</v>
      </c>
      <c r="E466" s="298">
        <v>9087.2660085499992</v>
      </c>
      <c r="F466" s="298">
        <v>11260.640609120001</v>
      </c>
      <c r="G466" s="302">
        <v>0.23916704964123681</v>
      </c>
      <c r="H466" s="303">
        <v>9301.8086286300022</v>
      </c>
      <c r="I466" s="298">
        <v>9584.4468993400005</v>
      </c>
      <c r="J466" s="298">
        <v>11260.640609120001</v>
      </c>
      <c r="K466" s="302">
        <v>0.17488684818061073</v>
      </c>
      <c r="L466" s="298">
        <v>11747.994488849999</v>
      </c>
      <c r="M466" s="298">
        <v>13255.270530809999</v>
      </c>
      <c r="N466" s="298">
        <v>14393.280498390001</v>
      </c>
      <c r="O466" s="306">
        <v>17269.608943560001</v>
      </c>
      <c r="P466" s="306" cm="1">
        <f t="array" ref="P466">INDEX($E$302:$E$676, MATCH($B466, $B$302:$B$676, 0) * MATCH("Brazil", $A$302:$A$676, 0))</f>
        <v>193518.90176102001</v>
      </c>
      <c r="Q466" s="306">
        <f t="shared" si="36"/>
        <v>184431.63575247</v>
      </c>
      <c r="R466" s="336">
        <f>INDEX('Base GDP'!$A$1:$E$76,MATCH(A466,'Base GDP'!$A$1:$A$76,0),4)</f>
        <v>546880.06131035998</v>
      </c>
      <c r="S466" s="336">
        <f>INDEX('Base GDP'!$A$1:$E$76,MATCH(A466,'Base GDP'!$A$1:$A$76,0),5)</f>
        <v>674049.24440882006</v>
      </c>
      <c r="T466" s="335">
        <f t="shared" si="37"/>
        <v>1.752568355916112E-2</v>
      </c>
      <c r="U466" s="335">
        <f t="shared" si="38"/>
        <v>1.6705961326306699E-2</v>
      </c>
      <c r="V466" s="335">
        <f t="shared" si="39"/>
        <v>-8.1972223285442167E-4</v>
      </c>
    </row>
    <row r="467" spans="1:22" x14ac:dyDescent="0.45">
      <c r="A467" s="293" t="s">
        <v>74</v>
      </c>
      <c r="B467" s="297" t="s">
        <v>6</v>
      </c>
      <c r="C467" s="293" t="str">
        <f t="shared" si="35"/>
        <v>SwedenManufacture of machinery and equipment n.e.c. (C28)</v>
      </c>
      <c r="D467" s="297" t="s">
        <v>958</v>
      </c>
      <c r="E467" s="298">
        <v>9541.5968656799996</v>
      </c>
      <c r="F467" s="298">
        <v>9847.6276320399993</v>
      </c>
      <c r="G467" s="302">
        <v>3.2073328046456906E-2</v>
      </c>
      <c r="H467" s="303">
        <v>8847.4777715000018</v>
      </c>
      <c r="I467" s="298">
        <v>8535.2845787799997</v>
      </c>
      <c r="J467" s="298">
        <v>9847.6276320399993</v>
      </c>
      <c r="K467" s="302">
        <v>0.15375504368333326</v>
      </c>
      <c r="L467" s="298">
        <v>11320.21760394</v>
      </c>
      <c r="M467" s="298">
        <v>12030.125435370001</v>
      </c>
      <c r="N467" s="298">
        <v>12489.582259070001</v>
      </c>
      <c r="O467" s="306">
        <v>13671.128300009999</v>
      </c>
      <c r="P467" s="306" cm="1">
        <f t="array" ref="P467">INDEX($E$302:$E$676, MATCH($B467, $B$302:$B$676, 0) * MATCH("Brazil", $A$302:$A$676, 0))</f>
        <v>193518.90176102001</v>
      </c>
      <c r="Q467" s="306">
        <f t="shared" si="36"/>
        <v>183977.30489534</v>
      </c>
      <c r="R467" s="336">
        <f>INDEX('Base GDP'!$A$1:$E$76,MATCH(A467,'Base GDP'!$A$1:$A$76,0),4)</f>
        <v>490179.06760786998</v>
      </c>
      <c r="S467" s="336">
        <f>INDEX('Base GDP'!$A$1:$E$76,MATCH(A467,'Base GDP'!$A$1:$A$76,0),5)</f>
        <v>552840.30345001002</v>
      </c>
      <c r="T467" s="335">
        <f t="shared" si="37"/>
        <v>1.7412584793620761E-2</v>
      </c>
      <c r="U467" s="335">
        <f t="shared" si="38"/>
        <v>1.7812788920391114E-2</v>
      </c>
      <c r="V467" s="335">
        <f t="shared" si="39"/>
        <v>4.0020412677035239E-4</v>
      </c>
    </row>
    <row r="468" spans="1:22" x14ac:dyDescent="0.45">
      <c r="A468" s="293" t="s">
        <v>75</v>
      </c>
      <c r="B468" s="297" t="s">
        <v>6</v>
      </c>
      <c r="C468" s="293" t="str">
        <f t="shared" si="35"/>
        <v>MexicoManufacture of machinery and equipment n.e.c. (C28)</v>
      </c>
      <c r="D468" s="297" t="s">
        <v>958</v>
      </c>
      <c r="E468" s="298">
        <v>7211.5755802599997</v>
      </c>
      <c r="F468" s="298">
        <v>9219.1285723799992</v>
      </c>
      <c r="G468" s="302">
        <v>0.27837924871996145</v>
      </c>
      <c r="H468" s="303">
        <v>11177.499056920002</v>
      </c>
      <c r="I468" s="298">
        <v>8402.4572535700008</v>
      </c>
      <c r="J468" s="298">
        <v>9219.1285723799992</v>
      </c>
      <c r="K468" s="302">
        <v>9.7194343769260394E-2</v>
      </c>
      <c r="L468" s="298">
        <v>10848.84029455</v>
      </c>
      <c r="M468" s="298">
        <v>12191.137103659999</v>
      </c>
      <c r="N468" s="298">
        <v>13208.24803339</v>
      </c>
      <c r="O468" s="306">
        <v>15757.038162000001</v>
      </c>
      <c r="P468" s="306" cm="1">
        <f t="array" ref="P468">INDEX($E$302:$E$676, MATCH($B468, $B$302:$B$676, 0) * MATCH("Brazil", $A$302:$A$676, 0))</f>
        <v>193518.90176102001</v>
      </c>
      <c r="Q468" s="306">
        <f t="shared" si="36"/>
        <v>186307.32618076002</v>
      </c>
      <c r="R468" s="336">
        <f>INDEX('Base GDP'!$A$1:$E$76,MATCH(A468,'Base GDP'!$A$1:$A$76,0),4)</f>
        <v>1239119.2771185001</v>
      </c>
      <c r="S468" s="336">
        <f>INDEX('Base GDP'!$A$1:$E$76,MATCH(A468,'Base GDP'!$A$1:$A$76,0),5)</f>
        <v>1262038.2891611001</v>
      </c>
      <c r="T468" s="335">
        <f t="shared" si="37"/>
        <v>6.7809914741294537E-3</v>
      </c>
      <c r="U468" s="335">
        <f t="shared" si="38"/>
        <v>7.3049515625299476E-3</v>
      </c>
      <c r="V468" s="335">
        <f t="shared" si="39"/>
        <v>5.2396008840049392E-4</v>
      </c>
    </row>
    <row r="469" spans="1:22" x14ac:dyDescent="0.45">
      <c r="A469" s="293" t="s">
        <v>77</v>
      </c>
      <c r="B469" s="297" t="s">
        <v>6</v>
      </c>
      <c r="C469" s="293" t="str">
        <f t="shared" si="35"/>
        <v>SpainManufacture of machinery and equipment n.e.c. (C28)</v>
      </c>
      <c r="D469" s="297" t="s">
        <v>958</v>
      </c>
      <c r="E469" s="298">
        <v>8137.1199952099996</v>
      </c>
      <c r="F469" s="298">
        <v>8759.1513755100004</v>
      </c>
      <c r="G469" s="302">
        <v>7.6443677943322186E-2</v>
      </c>
      <c r="H469" s="303">
        <v>10251.954641970002</v>
      </c>
      <c r="I469" s="298">
        <v>7665.7771330899996</v>
      </c>
      <c r="J469" s="298">
        <v>8759.1513755100004</v>
      </c>
      <c r="K469" s="302">
        <v>0.14263058049266197</v>
      </c>
      <c r="L469" s="298">
        <v>9657.2354669199995</v>
      </c>
      <c r="M469" s="298">
        <v>10532.239678149999</v>
      </c>
      <c r="N469" s="298">
        <v>11110.18011042</v>
      </c>
      <c r="O469" s="306">
        <v>12412.621877129999</v>
      </c>
      <c r="P469" s="306" cm="1">
        <f t="array" ref="P469">INDEX($E$302:$E$676, MATCH($B469, $B$302:$B$676, 0) * MATCH("Brazil", $A$302:$A$676, 0))</f>
        <v>193518.90176102001</v>
      </c>
      <c r="Q469" s="306">
        <f t="shared" si="36"/>
        <v>185381.78176581001</v>
      </c>
      <c r="R469" s="336">
        <f>INDEX('Base GDP'!$A$1:$E$76,MATCH(A469,'Base GDP'!$A$1:$A$76,0),4)</f>
        <v>1259732.1048611</v>
      </c>
      <c r="S469" s="336">
        <f>INDEX('Base GDP'!$A$1:$E$76,MATCH(A469,'Base GDP'!$A$1:$A$76,0),5)</f>
        <v>1317888.2673469</v>
      </c>
      <c r="T469" s="335">
        <f t="shared" si="37"/>
        <v>6.0852439209170116E-3</v>
      </c>
      <c r="U469" s="335">
        <f t="shared" si="38"/>
        <v>6.6463535585937353E-3</v>
      </c>
      <c r="V469" s="335">
        <f t="shared" si="39"/>
        <v>5.6110963767672366E-4</v>
      </c>
    </row>
    <row r="470" spans="1:22" x14ac:dyDescent="0.45">
      <c r="A470" s="293" t="s">
        <v>106</v>
      </c>
      <c r="B470" s="297" t="s">
        <v>6</v>
      </c>
      <c r="C470" s="293" t="str">
        <f t="shared" si="35"/>
        <v>RussiaManufacture of machinery and equipment n.e.c. (C28)</v>
      </c>
      <c r="D470" s="297" t="s">
        <v>958</v>
      </c>
      <c r="E470" s="298">
        <v>6938.7907610100001</v>
      </c>
      <c r="F470" s="298">
        <v>8674.2637440599992</v>
      </c>
      <c r="G470" s="302">
        <v>0.25011173312817792</v>
      </c>
      <c r="H470" s="303">
        <v>11450.28387617</v>
      </c>
      <c r="I470" s="298">
        <v>6386.6322578099998</v>
      </c>
      <c r="J470" s="298">
        <v>8674.2637440599992</v>
      </c>
      <c r="K470" s="302">
        <v>0.35819057586297243</v>
      </c>
      <c r="L470" s="298">
        <v>8924.5705924899994</v>
      </c>
      <c r="M470" s="298">
        <v>9658.7643036299996</v>
      </c>
      <c r="N470" s="298">
        <v>10204.07542406</v>
      </c>
      <c r="O470" s="306">
        <v>11379.88603457</v>
      </c>
      <c r="P470" s="306" cm="1">
        <f t="array" ref="P470">INDEX($E$302:$E$676, MATCH($B470, $B$302:$B$676, 0) * MATCH("Brazil", $A$302:$A$676, 0))</f>
        <v>193518.90176102001</v>
      </c>
      <c r="Q470" s="306">
        <f t="shared" si="36"/>
        <v>186580.11100001002</v>
      </c>
      <c r="R470" s="336">
        <f>INDEX('Base GDP'!$A$1:$E$76,MATCH(A470,'Base GDP'!$A$1:$A$76,0),4)</f>
        <v>1579786.0768998</v>
      </c>
      <c r="S470" s="336">
        <f>INDEX('Base GDP'!$A$1:$E$76,MATCH(A470,'Base GDP'!$A$1:$A$76,0),5)</f>
        <v>1741025.8573970001</v>
      </c>
      <c r="T470" s="335">
        <f t="shared" si="37"/>
        <v>4.0427196765420543E-3</v>
      </c>
      <c r="U470" s="335">
        <f t="shared" si="38"/>
        <v>4.9822716343965456E-3</v>
      </c>
      <c r="V470" s="335">
        <f t="shared" si="39"/>
        <v>9.3955195785449131E-4</v>
      </c>
    </row>
    <row r="471" spans="1:22" x14ac:dyDescent="0.45">
      <c r="A471" s="293" t="s">
        <v>121</v>
      </c>
      <c r="B471" s="297" t="s">
        <v>6</v>
      </c>
      <c r="C471" s="293" t="str">
        <f t="shared" si="35"/>
        <v>SingaporeManufacture of machinery and equipment n.e.c. (C28)</v>
      </c>
      <c r="D471" s="297" t="s">
        <v>958</v>
      </c>
      <c r="E471" s="298">
        <v>5334.7339419500004</v>
      </c>
      <c r="F471" s="298">
        <v>7574.6556294599995</v>
      </c>
      <c r="G471" s="302">
        <v>0.41987505129285663</v>
      </c>
      <c r="H471" s="303">
        <v>13054.340695230001</v>
      </c>
      <c r="I471" s="298">
        <v>5501.68838228</v>
      </c>
      <c r="J471" s="298">
        <v>7574.6556294599995</v>
      </c>
      <c r="K471" s="302">
        <v>0.37678747016219116</v>
      </c>
      <c r="L471" s="298">
        <v>9892.8659867599999</v>
      </c>
      <c r="M471" s="298">
        <v>11156.639225659999</v>
      </c>
      <c r="N471" s="298">
        <v>12066.152656030001</v>
      </c>
      <c r="O471" s="306">
        <v>13939.14316111</v>
      </c>
      <c r="P471" s="306" cm="1">
        <f t="array" ref="P471">INDEX($E$302:$E$676, MATCH($B471, $B$302:$B$676, 0) * MATCH("Brazil", $A$302:$A$676, 0))</f>
        <v>193518.90176102001</v>
      </c>
      <c r="Q471" s="306">
        <f t="shared" si="36"/>
        <v>188184.16781907002</v>
      </c>
      <c r="R471" s="336">
        <f>INDEX('Base GDP'!$A$1:$E$76,MATCH(A471,'Base GDP'!$A$1:$A$76,0),4)</f>
        <v>331298.98374970001</v>
      </c>
      <c r="S471" s="336">
        <f>INDEX('Base GDP'!$A$1:$E$76,MATCH(A471,'Base GDP'!$A$1:$A$76,0),5)</f>
        <v>394237.177708</v>
      </c>
      <c r="T471" s="335">
        <f t="shared" si="37"/>
        <v>1.6606414906592606E-2</v>
      </c>
      <c r="U471" s="335">
        <f t="shared" si="38"/>
        <v>1.9213448293986943E-2</v>
      </c>
      <c r="V471" s="335">
        <f t="shared" si="39"/>
        <v>2.607033387394337E-3</v>
      </c>
    </row>
    <row r="472" spans="1:22" x14ac:dyDescent="0.45">
      <c r="A472" s="293" t="s">
        <v>108</v>
      </c>
      <c r="B472" s="297" t="s">
        <v>6</v>
      </c>
      <c r="C472" s="293" t="str">
        <f t="shared" si="35"/>
        <v>TurkeyManufacture of machinery and equipment n.e.c. (C28)</v>
      </c>
      <c r="D472" s="297" t="s">
        <v>958</v>
      </c>
      <c r="E472" s="298">
        <v>3091.9580980199999</v>
      </c>
      <c r="F472" s="298">
        <v>7472.6681757699998</v>
      </c>
      <c r="G472" s="302">
        <v>1.4168077117717992</v>
      </c>
      <c r="H472" s="303">
        <v>15297.116539160001</v>
      </c>
      <c r="I472" s="298">
        <v>5220.5343352500004</v>
      </c>
      <c r="J472" s="298">
        <v>7472.6681757699998</v>
      </c>
      <c r="K472" s="302">
        <v>0.43139910512860347</v>
      </c>
      <c r="L472" s="298">
        <v>10124.611367650001</v>
      </c>
      <c r="M472" s="298">
        <v>11542.079308509999</v>
      </c>
      <c r="N472" s="298">
        <v>12731.08672564</v>
      </c>
      <c r="O472" s="306">
        <v>16343.441007429999</v>
      </c>
      <c r="P472" s="306" cm="1">
        <f t="array" ref="P472">INDEX($E$302:$E$676, MATCH($B472, $B$302:$B$676, 0) * MATCH("Brazil", $A$302:$A$676, 0))</f>
        <v>193518.90176102001</v>
      </c>
      <c r="Q472" s="306">
        <f t="shared" si="36"/>
        <v>190426.94366300001</v>
      </c>
      <c r="R472" s="336">
        <f>INDEX('Base GDP'!$A$1:$E$76,MATCH(A472,'Base GDP'!$A$1:$A$76,0),4)</f>
        <v>659235.83503077005</v>
      </c>
      <c r="S472" s="336">
        <f>INDEX('Base GDP'!$A$1:$E$76,MATCH(A472,'Base GDP'!$A$1:$A$76,0),5)</f>
        <v>865088.75381619995</v>
      </c>
      <c r="T472" s="335">
        <f t="shared" si="37"/>
        <v>7.9190694101244213E-3</v>
      </c>
      <c r="U472" s="335">
        <f t="shared" si="38"/>
        <v>8.6380364359212002E-3</v>
      </c>
      <c r="V472" s="335">
        <f t="shared" si="39"/>
        <v>7.1896702579677882E-4</v>
      </c>
    </row>
    <row r="473" spans="1:22" x14ac:dyDescent="0.45">
      <c r="A473" s="293" t="s">
        <v>116</v>
      </c>
      <c r="B473" s="297" t="s">
        <v>6</v>
      </c>
      <c r="C473" s="293" t="str">
        <f t="shared" si="35"/>
        <v>DenmarkManufacture of machinery and equipment n.e.c. (C28)</v>
      </c>
      <c r="D473" s="297" t="s">
        <v>958</v>
      </c>
      <c r="E473" s="298">
        <v>5612.4735398499997</v>
      </c>
      <c r="F473" s="298">
        <v>7370.6438865700002</v>
      </c>
      <c r="G473" s="302">
        <v>0.31326122684348356</v>
      </c>
      <c r="H473" s="303">
        <v>12776.601097330002</v>
      </c>
      <c r="I473" s="298">
        <v>5849.2394046700001</v>
      </c>
      <c r="J473" s="298">
        <v>7370.6438865700002</v>
      </c>
      <c r="K473" s="302">
        <v>0.26010295982847254</v>
      </c>
      <c r="L473" s="298">
        <v>7244.1735664099997</v>
      </c>
      <c r="M473" s="298">
        <v>7792.6262546300004</v>
      </c>
      <c r="N473" s="298">
        <v>8202.9001728099993</v>
      </c>
      <c r="O473" s="306">
        <v>9107.2017325300003</v>
      </c>
      <c r="P473" s="306" cm="1">
        <f t="array" ref="P473">INDEX($E$302:$E$676, MATCH($B473, $B$302:$B$676, 0) * MATCH("Brazil", $A$302:$A$676, 0))</f>
        <v>193518.90176102001</v>
      </c>
      <c r="Q473" s="306">
        <f t="shared" si="36"/>
        <v>187906.42822117</v>
      </c>
      <c r="R473" s="336">
        <f>INDEX('Base GDP'!$A$1:$E$76,MATCH(A473,'Base GDP'!$A$1:$A$76,0),4)</f>
        <v>315318.76572541997</v>
      </c>
      <c r="S473" s="336">
        <f>INDEX('Base GDP'!$A$1:$E$76,MATCH(A473,'Base GDP'!$A$1:$A$76,0),5)</f>
        <v>361238.79673869</v>
      </c>
      <c r="T473" s="335">
        <f t="shared" si="37"/>
        <v>1.8550241978821921E-2</v>
      </c>
      <c r="U473" s="335">
        <f t="shared" si="38"/>
        <v>2.0403799240594073E-2</v>
      </c>
      <c r="V473" s="335">
        <f t="shared" si="39"/>
        <v>1.8535572617721513E-3</v>
      </c>
    </row>
    <row r="474" spans="1:22" x14ac:dyDescent="0.45">
      <c r="A474" s="293" t="s">
        <v>126</v>
      </c>
      <c r="B474" s="297" t="s">
        <v>6</v>
      </c>
      <c r="C474" s="293" t="str">
        <f t="shared" si="35"/>
        <v>FinlandManufacture of machinery and equipment n.e.c. (C28)</v>
      </c>
      <c r="D474" s="297" t="s">
        <v>958</v>
      </c>
      <c r="E474" s="298">
        <v>5534.3794645899998</v>
      </c>
      <c r="F474" s="298">
        <v>6774.3029251400003</v>
      </c>
      <c r="G474" s="302">
        <v>0.22404019610206771</v>
      </c>
      <c r="H474" s="303">
        <v>12854.695172590002</v>
      </c>
      <c r="I474" s="298">
        <v>5684.6176638099996</v>
      </c>
      <c r="J474" s="298">
        <v>6774.3029251400003</v>
      </c>
      <c r="K474" s="302">
        <v>0.19169015856022598</v>
      </c>
      <c r="L474" s="298">
        <v>8010.4848064500002</v>
      </c>
      <c r="M474" s="298">
        <v>8638.2738021099995</v>
      </c>
      <c r="N474" s="298">
        <v>9065.3122234900002</v>
      </c>
      <c r="O474" s="306">
        <v>10108.132135010001</v>
      </c>
      <c r="P474" s="306" cm="1">
        <f t="array" ref="P474">INDEX($E$302:$E$676, MATCH($B474, $B$302:$B$676, 0) * MATCH("Brazil", $A$302:$A$676, 0))</f>
        <v>193518.90176102001</v>
      </c>
      <c r="Q474" s="306">
        <f t="shared" si="36"/>
        <v>187984.52229643002</v>
      </c>
      <c r="R474" s="336">
        <f>INDEX('Base GDP'!$A$1:$E$76,MATCH(A474,'Base GDP'!$A$1:$A$76,0),4)</f>
        <v>247207.29862345001</v>
      </c>
      <c r="S474" s="336">
        <f>INDEX('Base GDP'!$A$1:$E$76,MATCH(A474,'Base GDP'!$A$1:$A$76,0),5)</f>
        <v>270499.52733732999</v>
      </c>
      <c r="T474" s="335">
        <f t="shared" si="37"/>
        <v>2.2995347206430573E-2</v>
      </c>
      <c r="U474" s="335">
        <f t="shared" si="38"/>
        <v>2.5043677494829841E-2</v>
      </c>
      <c r="V474" s="335">
        <f t="shared" si="39"/>
        <v>2.0483302883992673E-3</v>
      </c>
    </row>
    <row r="475" spans="1:22" x14ac:dyDescent="0.45">
      <c r="A475" s="293" t="s">
        <v>112</v>
      </c>
      <c r="B475" s="297" t="s">
        <v>6</v>
      </c>
      <c r="C475" s="293" t="str">
        <f t="shared" si="35"/>
        <v>PolandManufacture of machinery and equipment n.e.c. (C28)</v>
      </c>
      <c r="D475" s="297" t="s">
        <v>958</v>
      </c>
      <c r="E475" s="298">
        <v>3340.9800778200001</v>
      </c>
      <c r="F475" s="298">
        <v>5189.4070813199996</v>
      </c>
      <c r="G475" s="302">
        <v>0.55325891218905565</v>
      </c>
      <c r="H475" s="303">
        <v>15048.094559360001</v>
      </c>
      <c r="I475" s="298">
        <v>3559.6490669200002</v>
      </c>
      <c r="J475" s="298">
        <v>5189.4070813199996</v>
      </c>
      <c r="K475" s="302">
        <v>0.4578423276455601</v>
      </c>
      <c r="L475" s="298">
        <v>7375.7568928199998</v>
      </c>
      <c r="M475" s="298">
        <v>8471.0484973500006</v>
      </c>
      <c r="N475" s="298">
        <v>9242.0084086099996</v>
      </c>
      <c r="O475" s="306">
        <v>10786.94576538</v>
      </c>
      <c r="P475" s="306" cm="1">
        <f t="array" ref="P475">INDEX($E$302:$E$676, MATCH($B475, $B$302:$B$676, 0) * MATCH("Brazil", $A$302:$A$676, 0))</f>
        <v>193518.90176102001</v>
      </c>
      <c r="Q475" s="306">
        <f t="shared" si="36"/>
        <v>190177.92168320002</v>
      </c>
      <c r="R475" s="336">
        <f>INDEX('Base GDP'!$A$1:$E$76,MATCH(A475,'Base GDP'!$A$1:$A$76,0),4)</f>
        <v>496555.53410177003</v>
      </c>
      <c r="S475" s="336">
        <f>INDEX('Base GDP'!$A$1:$E$76,MATCH(A475,'Base GDP'!$A$1:$A$76,0),5)</f>
        <v>623108.57565016998</v>
      </c>
      <c r="T475" s="335">
        <f t="shared" si="37"/>
        <v>7.1686827000309759E-3</v>
      </c>
      <c r="U475" s="335">
        <f t="shared" si="38"/>
        <v>8.3282549528470515E-3</v>
      </c>
      <c r="V475" s="335">
        <f t="shared" si="39"/>
        <v>1.1595722528160756E-3</v>
      </c>
    </row>
    <row r="476" spans="1:22" x14ac:dyDescent="0.45">
      <c r="A476" s="293" t="s">
        <v>127</v>
      </c>
      <c r="B476" s="297" t="s">
        <v>6</v>
      </c>
      <c r="C476" s="293" t="str">
        <f t="shared" si="35"/>
        <v>IrelandManufacture of machinery and equipment n.e.c. (C28)</v>
      </c>
      <c r="D476" s="297" t="s">
        <v>958</v>
      </c>
      <c r="E476" s="298">
        <v>1361.43384034</v>
      </c>
      <c r="F476" s="298">
        <v>5063.8829165699999</v>
      </c>
      <c r="G476" s="302">
        <v>2.7195218500704836</v>
      </c>
      <c r="H476" s="303">
        <v>17027.640796840002</v>
      </c>
      <c r="I476" s="298">
        <v>4439.2892836399997</v>
      </c>
      <c r="J476" s="298">
        <v>5063.8829165699999</v>
      </c>
      <c r="K476" s="302">
        <v>0.14069676315796742</v>
      </c>
      <c r="L476" s="298">
        <v>5648.5246052100001</v>
      </c>
      <c r="M476" s="298">
        <v>6079.80302975</v>
      </c>
      <c r="N476" s="298">
        <v>6390.1957356399998</v>
      </c>
      <c r="O476" s="306">
        <v>7215.9656871899997</v>
      </c>
      <c r="P476" s="306" cm="1">
        <f t="array" ref="P476">INDEX($E$302:$E$676, MATCH($B476, $B$302:$B$676, 0) * MATCH("Brazil", $A$302:$A$676, 0))</f>
        <v>193518.90176102001</v>
      </c>
      <c r="Q476" s="306">
        <f t="shared" si="36"/>
        <v>192157.46792068001</v>
      </c>
      <c r="R476" s="336">
        <f>INDEX('Base GDP'!$A$1:$E$76,MATCH(A476,'Base GDP'!$A$1:$A$76,0),4)</f>
        <v>308812.05776281998</v>
      </c>
      <c r="S476" s="336">
        <f>INDEX('Base GDP'!$A$1:$E$76,MATCH(A476,'Base GDP'!$A$1:$A$76,0),5)</f>
        <v>483748.84960921999</v>
      </c>
      <c r="T476" s="335">
        <f t="shared" si="37"/>
        <v>1.4375375481774587E-2</v>
      </c>
      <c r="U476" s="335">
        <f t="shared" si="38"/>
        <v>1.0467999914957286E-2</v>
      </c>
      <c r="V476" s="335">
        <f t="shared" si="39"/>
        <v>-3.9073755668173008E-3</v>
      </c>
    </row>
    <row r="477" spans="1:22" x14ac:dyDescent="0.45">
      <c r="A477" s="293" t="s">
        <v>111</v>
      </c>
      <c r="B477" s="297" t="s">
        <v>6</v>
      </c>
      <c r="C477" s="293" t="str">
        <f t="shared" si="35"/>
        <v>Czech RepublicManufacture of machinery and equipment n.e.c. (C28)</v>
      </c>
      <c r="D477" s="297" t="s">
        <v>958</v>
      </c>
      <c r="E477" s="298">
        <v>3956.5136725000002</v>
      </c>
      <c r="F477" s="298">
        <v>4968.4318081000001</v>
      </c>
      <c r="G477" s="302">
        <v>0.25576005022639037</v>
      </c>
      <c r="H477" s="303">
        <v>14432.56096468</v>
      </c>
      <c r="I477" s="298">
        <v>4652.70848475</v>
      </c>
      <c r="J477" s="298">
        <v>4968.4318081000001</v>
      </c>
      <c r="K477" s="302">
        <v>6.7857963675316046E-2</v>
      </c>
      <c r="L477" s="298">
        <v>5854.8543593200002</v>
      </c>
      <c r="M477" s="298">
        <v>6406.2526240400002</v>
      </c>
      <c r="N477" s="298">
        <v>6820.2732788499998</v>
      </c>
      <c r="O477" s="306">
        <v>7680.8548589700004</v>
      </c>
      <c r="P477" s="306" cm="1">
        <f t="array" ref="P477">INDEX($E$302:$E$676, MATCH($B477, $B$302:$B$676, 0) * MATCH("Brazil", $A$302:$A$676, 0))</f>
        <v>193518.90176102001</v>
      </c>
      <c r="Q477" s="306">
        <f t="shared" si="36"/>
        <v>189562.38808852001</v>
      </c>
      <c r="R477" s="336">
        <f>INDEX('Base GDP'!$A$1:$E$76,MATCH(A477,'Base GDP'!$A$1:$A$76,0),4)</f>
        <v>220291.04889604999</v>
      </c>
      <c r="S477" s="336">
        <f>INDEX('Base GDP'!$A$1:$E$76,MATCH(A477,'Base GDP'!$A$1:$A$76,0),5)</f>
        <v>247058.51905223</v>
      </c>
      <c r="T477" s="335">
        <f t="shared" si="37"/>
        <v>2.1120733266586336E-2</v>
      </c>
      <c r="U477" s="335">
        <f t="shared" si="38"/>
        <v>2.0110344007403514E-2</v>
      </c>
      <c r="V477" s="335">
        <f t="shared" si="39"/>
        <v>-1.0103892591828215E-3</v>
      </c>
    </row>
    <row r="478" spans="1:22" x14ac:dyDescent="0.45">
      <c r="A478" s="293" t="s">
        <v>99</v>
      </c>
      <c r="B478" s="297" t="s">
        <v>6</v>
      </c>
      <c r="C478" s="293" t="str">
        <f t="shared" si="35"/>
        <v>IndonesiaManufacture of machinery and equipment n.e.c. (C28)</v>
      </c>
      <c r="D478" s="297" t="s">
        <v>958</v>
      </c>
      <c r="E478" s="298">
        <v>3878.1646043699998</v>
      </c>
      <c r="F478" s="298">
        <v>4762.6957695000001</v>
      </c>
      <c r="G478" s="302">
        <v>0.22807984068888976</v>
      </c>
      <c r="H478" s="303">
        <v>14510.910032810001</v>
      </c>
      <c r="I478" s="298">
        <v>4486.3285236900001</v>
      </c>
      <c r="J478" s="298">
        <v>4762.6957695000001</v>
      </c>
      <c r="K478" s="302">
        <v>6.1602097205018858E-2</v>
      </c>
      <c r="L478" s="298">
        <v>7038.1448577900001</v>
      </c>
      <c r="M478" s="298">
        <v>8831.0029673499994</v>
      </c>
      <c r="N478" s="298">
        <v>10329.68263438</v>
      </c>
      <c r="O478" s="306">
        <v>14469.259723519999</v>
      </c>
      <c r="P478" s="306" cm="1">
        <f t="array" ref="P478">INDEX($E$302:$E$676, MATCH($B478, $B$302:$B$676, 0) * MATCH("Brazil", $A$302:$A$676, 0))</f>
        <v>193518.90176102001</v>
      </c>
      <c r="Q478" s="306">
        <f t="shared" si="36"/>
        <v>189640.73715665002</v>
      </c>
      <c r="R478" s="336">
        <f>INDEX('Base GDP'!$A$1:$E$76,MATCH(A478,'Base GDP'!$A$1:$A$76,0),4)</f>
        <v>917924.88667253999</v>
      </c>
      <c r="S478" s="336">
        <f>INDEX('Base GDP'!$A$1:$E$76,MATCH(A478,'Base GDP'!$A$1:$A$76,0),5)</f>
        <v>1136354.4627425</v>
      </c>
      <c r="T478" s="335">
        <f t="shared" si="37"/>
        <v>4.887468014897008E-3</v>
      </c>
      <c r="U478" s="335">
        <f t="shared" si="38"/>
        <v>4.1912061118725375E-3</v>
      </c>
      <c r="V478" s="335">
        <f t="shared" si="39"/>
        <v>-6.9626190302447041E-4</v>
      </c>
    </row>
    <row r="479" spans="1:22" x14ac:dyDescent="0.45">
      <c r="A479" s="293" t="s">
        <v>120</v>
      </c>
      <c r="B479" s="297" t="s">
        <v>6</v>
      </c>
      <c r="C479" s="293" t="str">
        <f t="shared" si="35"/>
        <v>AustraliaManufacture of machinery and equipment n.e.c. (C28)</v>
      </c>
      <c r="D479" s="297" t="s">
        <v>958</v>
      </c>
      <c r="E479" s="298">
        <v>4415.4296617600003</v>
      </c>
      <c r="F479" s="298">
        <v>4203.9501107799997</v>
      </c>
      <c r="G479" s="302">
        <v>-4.7895576915544025E-2</v>
      </c>
      <c r="H479" s="303">
        <v>13973.64497542</v>
      </c>
      <c r="I479" s="298">
        <v>4066.0567304900001</v>
      </c>
      <c r="J479" s="298">
        <v>4203.9501107799997</v>
      </c>
      <c r="K479" s="302">
        <v>3.3913294729998045E-2</v>
      </c>
      <c r="L479" s="298">
        <v>4438.6655898600002</v>
      </c>
      <c r="M479" s="298">
        <v>4866.79999924</v>
      </c>
      <c r="N479" s="298">
        <v>5156.6433818300002</v>
      </c>
      <c r="O479" s="306">
        <v>5868.76857217</v>
      </c>
      <c r="P479" s="306" cm="1">
        <f t="array" ref="P479">INDEX($E$302:$E$676, MATCH($B479, $B$302:$B$676, 0) * MATCH("Brazil", $A$302:$A$676, 0))</f>
        <v>193518.90176102001</v>
      </c>
      <c r="Q479" s="306">
        <f t="shared" si="36"/>
        <v>189103.47209926002</v>
      </c>
      <c r="R479" s="336">
        <f>INDEX('Base GDP'!$A$1:$E$76,MATCH(A479,'Base GDP'!$A$1:$A$76,0),4)</f>
        <v>1256563.3075111001</v>
      </c>
      <c r="S479" s="336">
        <f>INDEX('Base GDP'!$A$1:$E$76,MATCH(A479,'Base GDP'!$A$1:$A$76,0),5)</f>
        <v>1430586.2916371</v>
      </c>
      <c r="T479" s="335">
        <f t="shared" si="37"/>
        <v>3.2358550549623478E-3</v>
      </c>
      <c r="U479" s="335">
        <f t="shared" si="38"/>
        <v>2.9386204351009013E-3</v>
      </c>
      <c r="V479" s="335">
        <f t="shared" si="39"/>
        <v>-2.9723461986144641E-4</v>
      </c>
    </row>
    <row r="480" spans="1:22" x14ac:dyDescent="0.45">
      <c r="A480" s="293" t="s">
        <v>118</v>
      </c>
      <c r="B480" s="297" t="s">
        <v>6</v>
      </c>
      <c r="C480" s="293" t="str">
        <f t="shared" si="35"/>
        <v>BelgiumManufacture of machinery and equipment n.e.c. (C28)</v>
      </c>
      <c r="D480" s="297" t="s">
        <v>958</v>
      </c>
      <c r="E480" s="298">
        <v>4233.7057206600002</v>
      </c>
      <c r="F480" s="298">
        <v>3848.4990716299999</v>
      </c>
      <c r="G480" s="302">
        <v>-9.0985693018349356E-2</v>
      </c>
      <c r="H480" s="303">
        <v>14155.368916520001</v>
      </c>
      <c r="I480" s="298">
        <v>4022.5481422100002</v>
      </c>
      <c r="J480" s="298">
        <v>3848.4990716299999</v>
      </c>
      <c r="K480" s="302">
        <v>-4.3268362348145128E-2</v>
      </c>
      <c r="L480" s="298">
        <v>4340.5912780299996</v>
      </c>
      <c r="M480" s="298">
        <v>4502.3150635800002</v>
      </c>
      <c r="N480" s="298">
        <v>4643.4711215200005</v>
      </c>
      <c r="O480" s="306">
        <v>4925.8690673900001</v>
      </c>
      <c r="P480" s="306" cm="1">
        <f t="array" ref="P480">INDEX($E$302:$E$676, MATCH($B480, $B$302:$B$676, 0) * MATCH("Brazil", $A$302:$A$676, 0))</f>
        <v>193518.90176102001</v>
      </c>
      <c r="Q480" s="306">
        <f t="shared" si="36"/>
        <v>189285.19604036002</v>
      </c>
      <c r="R480" s="336">
        <f>INDEX('Base GDP'!$A$1:$E$76,MATCH(A480,'Base GDP'!$A$1:$A$76,0),4)</f>
        <v>500331.50984029</v>
      </c>
      <c r="S480" s="336">
        <f>INDEX('Base GDP'!$A$1:$E$76,MATCH(A480,'Base GDP'!$A$1:$A$76,0),5)</f>
        <v>542439.84157398995</v>
      </c>
      <c r="T480" s="335">
        <f t="shared" si="37"/>
        <v>8.0397657614928765E-3</v>
      </c>
      <c r="U480" s="335">
        <f t="shared" si="38"/>
        <v>7.0947942549036682E-3</v>
      </c>
      <c r="V480" s="335">
        <f t="shared" si="39"/>
        <v>-9.4497150658920826E-4</v>
      </c>
    </row>
    <row r="481" spans="1:22" x14ac:dyDescent="0.45">
      <c r="A481" s="293" t="s">
        <v>109</v>
      </c>
      <c r="B481" s="297" t="s">
        <v>6</v>
      </c>
      <c r="C481" s="293" t="str">
        <f t="shared" si="35"/>
        <v>ThailandManufacture of machinery and equipment n.e.c. (C28)</v>
      </c>
      <c r="D481" s="297" t="s">
        <v>958</v>
      </c>
      <c r="E481" s="298">
        <v>2575.74298168</v>
      </c>
      <c r="F481" s="298">
        <v>3634.5881429000001</v>
      </c>
      <c r="G481" s="302">
        <v>0.41108339176348263</v>
      </c>
      <c r="H481" s="303">
        <v>15813.331655500002</v>
      </c>
      <c r="I481" s="298">
        <v>3207.1484987200001</v>
      </c>
      <c r="J481" s="298">
        <v>3634.5881429000001</v>
      </c>
      <c r="K481" s="302">
        <v>0.13327716017845592</v>
      </c>
      <c r="L481" s="298">
        <v>4169.0949344399996</v>
      </c>
      <c r="M481" s="298">
        <v>4938.35429776</v>
      </c>
      <c r="N481" s="298">
        <v>5556.1213300500003</v>
      </c>
      <c r="O481" s="306">
        <v>7132.1195408200001</v>
      </c>
      <c r="P481" s="306" cm="1">
        <f t="array" ref="P481">INDEX($E$302:$E$676, MATCH($B481, $B$302:$B$676, 0) * MATCH("Brazil", $A$302:$A$676, 0))</f>
        <v>193518.90176102001</v>
      </c>
      <c r="Q481" s="306">
        <f t="shared" si="36"/>
        <v>190943.15877934001</v>
      </c>
      <c r="R481" s="336">
        <f>INDEX('Base GDP'!$A$1:$E$76,MATCH(A481,'Base GDP'!$A$1:$A$76,0),4)</f>
        <v>474324.68093352998</v>
      </c>
      <c r="S481" s="336">
        <f>INDEX('Base GDP'!$A$1:$E$76,MATCH(A481,'Base GDP'!$A$1:$A$76,0),5)</f>
        <v>518585.14704719</v>
      </c>
      <c r="T481" s="335">
        <f t="shared" si="37"/>
        <v>6.7615045719483392E-3</v>
      </c>
      <c r="U481" s="335">
        <f t="shared" si="38"/>
        <v>7.0086622488037846E-3</v>
      </c>
      <c r="V481" s="335">
        <f t="shared" si="39"/>
        <v>2.4715767685544541E-4</v>
      </c>
    </row>
    <row r="482" spans="1:22" x14ac:dyDescent="0.45">
      <c r="A482" s="293" t="s">
        <v>170</v>
      </c>
      <c r="B482" s="297" t="s">
        <v>6</v>
      </c>
      <c r="C482" s="293" t="str">
        <f t="shared" si="35"/>
        <v>ChileManufacture of machinery and equipment n.e.c. (C28)</v>
      </c>
      <c r="D482" s="297" t="s">
        <v>958</v>
      </c>
      <c r="E482" s="298">
        <v>1311.94628898</v>
      </c>
      <c r="F482" s="298">
        <v>2492.78852044</v>
      </c>
      <c r="G482" s="302">
        <v>0.90006903588871046</v>
      </c>
      <c r="H482" s="303">
        <v>17077.1283482</v>
      </c>
      <c r="I482" s="298">
        <v>1185.303938</v>
      </c>
      <c r="J482" s="298">
        <v>2492.78852044</v>
      </c>
      <c r="K482" s="302">
        <v>1.1030795904096626</v>
      </c>
      <c r="L482" s="298">
        <v>2961.8267071099999</v>
      </c>
      <c r="M482" s="298">
        <v>3284.38197236</v>
      </c>
      <c r="N482" s="298">
        <v>3536.3047359900002</v>
      </c>
      <c r="O482" s="306">
        <v>4146.0247967300002</v>
      </c>
      <c r="P482" s="306" cm="1">
        <f t="array" ref="P482">INDEX($E$302:$E$676, MATCH($B482, $B$302:$B$676, 0) * MATCH("Brazil", $A$302:$A$676, 0))</f>
        <v>193518.90176102001</v>
      </c>
      <c r="Q482" s="306">
        <f t="shared" si="36"/>
        <v>192206.95547204002</v>
      </c>
      <c r="R482" s="336">
        <f>INDEX('Base GDP'!$A$1:$E$76,MATCH(A482,'Base GDP'!$A$1:$A$76,0),4)</f>
        <v>257576.69277617999</v>
      </c>
      <c r="S482" s="336">
        <f>INDEX('Base GDP'!$A$1:$E$76,MATCH(A482,'Base GDP'!$A$1:$A$76,0),5)</f>
        <v>291863.26262717001</v>
      </c>
      <c r="T482" s="335">
        <f t="shared" si="37"/>
        <v>4.601751521943657E-3</v>
      </c>
      <c r="U482" s="335">
        <f t="shared" si="38"/>
        <v>8.5409465309250684E-3</v>
      </c>
      <c r="V482" s="335">
        <f t="shared" si="39"/>
        <v>3.9391950089814115E-3</v>
      </c>
    </row>
    <row r="483" spans="1:22" x14ac:dyDescent="0.45">
      <c r="A483" s="293" t="s">
        <v>144</v>
      </c>
      <c r="B483" s="297" t="s">
        <v>6</v>
      </c>
      <c r="C483" s="293" t="str">
        <f t="shared" si="35"/>
        <v>MalaysiaManufacture of machinery and equipment n.e.c. (C28)</v>
      </c>
      <c r="D483" s="297" t="s">
        <v>958</v>
      </c>
      <c r="E483" s="298">
        <v>1613.5425966099999</v>
      </c>
      <c r="F483" s="298">
        <v>2467.5757849400002</v>
      </c>
      <c r="G483" s="302">
        <v>0.52929076066804548</v>
      </c>
      <c r="H483" s="303">
        <v>16775.53204057</v>
      </c>
      <c r="I483" s="298">
        <v>1795.18948535</v>
      </c>
      <c r="J483" s="298">
        <v>2467.5757849400002</v>
      </c>
      <c r="K483" s="302">
        <v>0.37454892927857575</v>
      </c>
      <c r="L483" s="298">
        <v>3007.6357877999999</v>
      </c>
      <c r="M483" s="298">
        <v>3610.52779371</v>
      </c>
      <c r="N483" s="298">
        <v>4103.2265668700002</v>
      </c>
      <c r="O483" s="306">
        <v>5345.4857583499997</v>
      </c>
      <c r="P483" s="306" cm="1">
        <f t="array" ref="P483">INDEX($E$302:$E$676, MATCH($B483, $B$302:$B$676, 0) * MATCH("Brazil", $A$302:$A$676, 0))</f>
        <v>193518.90176102001</v>
      </c>
      <c r="Q483" s="306">
        <f t="shared" si="36"/>
        <v>191905.35916441001</v>
      </c>
      <c r="R483" s="336">
        <f>INDEX('Base GDP'!$A$1:$E$76,MATCH(A483,'Base GDP'!$A$1:$A$76,0),4)</f>
        <v>301830.41438700003</v>
      </c>
      <c r="S483" s="336">
        <f>INDEX('Base GDP'!$A$1:$E$76,MATCH(A483,'Base GDP'!$A$1:$A$76,0),5)</f>
        <v>356559.39228144003</v>
      </c>
      <c r="T483" s="335">
        <f t="shared" si="37"/>
        <v>5.9476759126343356E-3</v>
      </c>
      <c r="U483" s="335">
        <f t="shared" si="38"/>
        <v>6.9205182596684747E-3</v>
      </c>
      <c r="V483" s="335">
        <f t="shared" si="39"/>
        <v>9.7284234703413908E-4</v>
      </c>
    </row>
    <row r="484" spans="1:22" x14ac:dyDescent="0.45">
      <c r="A484" s="293" t="s">
        <v>113</v>
      </c>
      <c r="B484" s="297" t="s">
        <v>6</v>
      </c>
      <c r="C484" s="293" t="str">
        <f t="shared" si="35"/>
        <v>HungaryManufacture of machinery and equipment n.e.c. (C28)</v>
      </c>
      <c r="D484" s="297" t="s">
        <v>958</v>
      </c>
      <c r="E484" s="298">
        <v>3020.1444357300002</v>
      </c>
      <c r="F484" s="298">
        <v>2171.68677411</v>
      </c>
      <c r="G484" s="302">
        <v>-0.28093280956442712</v>
      </c>
      <c r="H484" s="303">
        <v>15368.930201450001</v>
      </c>
      <c r="I484" s="298">
        <v>3430.4344908600001</v>
      </c>
      <c r="J484" s="298">
        <v>2171.68677411</v>
      </c>
      <c r="K484" s="302">
        <v>-0.36693536055091247</v>
      </c>
      <c r="L484" s="298">
        <v>2795.6609265799998</v>
      </c>
      <c r="M484" s="298">
        <v>3206.0708602899999</v>
      </c>
      <c r="N484" s="298">
        <v>3401.5467411099999</v>
      </c>
      <c r="O484" s="306">
        <v>3881.82257213</v>
      </c>
      <c r="P484" s="306" cm="1">
        <f t="array" ref="P484">INDEX($E$302:$E$676, MATCH($B484, $B$302:$B$676, 0) * MATCH("Brazil", $A$302:$A$676, 0))</f>
        <v>193518.90176102001</v>
      </c>
      <c r="Q484" s="306">
        <f t="shared" si="36"/>
        <v>190498.75732529</v>
      </c>
      <c r="R484" s="336">
        <f>INDEX('Base GDP'!$A$1:$E$76,MATCH(A484,'Base GDP'!$A$1:$A$76,0),4)</f>
        <v>139098.07965294999</v>
      </c>
      <c r="S484" s="336">
        <f>INDEX('Base GDP'!$A$1:$E$76,MATCH(A484,'Base GDP'!$A$1:$A$76,0),5)</f>
        <v>167320.49519441</v>
      </c>
      <c r="T484" s="335">
        <f t="shared" si="37"/>
        <v>2.466198310874558E-2</v>
      </c>
      <c r="U484" s="335">
        <f t="shared" si="38"/>
        <v>1.2979203603161184E-2</v>
      </c>
      <c r="V484" s="335">
        <f t="shared" si="39"/>
        <v>-1.1682779505584396E-2</v>
      </c>
    </row>
    <row r="485" spans="1:22" x14ac:dyDescent="0.45">
      <c r="A485" s="293" t="s">
        <v>123</v>
      </c>
      <c r="B485" s="297" t="s">
        <v>6</v>
      </c>
      <c r="C485" s="293" t="str">
        <f t="shared" si="35"/>
        <v>IsraelManufacture of machinery and equipment n.e.c. (C28)</v>
      </c>
      <c r="D485" s="297" t="s">
        <v>958</v>
      </c>
      <c r="E485" s="298">
        <v>1608.27044174</v>
      </c>
      <c r="F485" s="298">
        <v>2159.02656974</v>
      </c>
      <c r="G485" s="302">
        <v>0.34245243443268958</v>
      </c>
      <c r="H485" s="303">
        <v>16780.804195440003</v>
      </c>
      <c r="I485" s="298">
        <v>1859.1216801800001</v>
      </c>
      <c r="J485" s="298">
        <v>2159.02656974</v>
      </c>
      <c r="K485" s="302">
        <v>0.16131536346290321</v>
      </c>
      <c r="L485" s="298">
        <v>2524.1985243700001</v>
      </c>
      <c r="M485" s="298">
        <v>2765.04061159</v>
      </c>
      <c r="N485" s="298">
        <v>2963.8124777500002</v>
      </c>
      <c r="O485" s="306">
        <v>3493.6783112399999</v>
      </c>
      <c r="P485" s="306" cm="1">
        <f t="array" ref="P485">INDEX($E$302:$E$676, MATCH($B485, $B$302:$B$676, 0) * MATCH("Brazil", $A$302:$A$676, 0))</f>
        <v>193518.90176102001</v>
      </c>
      <c r="Q485" s="306">
        <f t="shared" si="36"/>
        <v>191910.63131928002</v>
      </c>
      <c r="R485" s="336">
        <f>INDEX('Base GDP'!$A$1:$E$76,MATCH(A485,'Base GDP'!$A$1:$A$76,0),4)</f>
        <v>339252.33917334001</v>
      </c>
      <c r="S485" s="336">
        <f>INDEX('Base GDP'!$A$1:$E$76,MATCH(A485,'Base GDP'!$A$1:$A$76,0),5)</f>
        <v>430314.68651226</v>
      </c>
      <c r="T485" s="335">
        <f t="shared" si="37"/>
        <v>5.4800555972882685E-3</v>
      </c>
      <c r="U485" s="335">
        <f t="shared" si="38"/>
        <v>5.0173202017321514E-3</v>
      </c>
      <c r="V485" s="335">
        <f t="shared" si="39"/>
        <v>-4.6273539555611708E-4</v>
      </c>
    </row>
    <row r="486" spans="1:22" x14ac:dyDescent="0.45">
      <c r="A486" s="293" t="s">
        <v>157</v>
      </c>
      <c r="B486" s="297" t="s">
        <v>6</v>
      </c>
      <c r="C486" s="293" t="str">
        <f t="shared" si="35"/>
        <v>SlovakiaManufacture of machinery and equipment n.e.c. (C28)</v>
      </c>
      <c r="D486" s="297" t="s">
        <v>958</v>
      </c>
      <c r="E486" s="298">
        <v>1648.2439217900001</v>
      </c>
      <c r="F486" s="298">
        <v>1895.5079022100001</v>
      </c>
      <c r="G486" s="302">
        <v>0.15001661899136276</v>
      </c>
      <c r="H486" s="303">
        <v>16740.830715390002</v>
      </c>
      <c r="I486" s="298">
        <v>2265.9732806400002</v>
      </c>
      <c r="J486" s="298">
        <v>1895.5079022100001</v>
      </c>
      <c r="K486" s="302">
        <v>-0.16349062082734089</v>
      </c>
      <c r="L486" s="298">
        <v>2144.04308932</v>
      </c>
      <c r="M486" s="298">
        <v>2437.5645413299999</v>
      </c>
      <c r="N486" s="298">
        <v>2632.1250593700001</v>
      </c>
      <c r="O486" s="306">
        <v>3218.6528522600001</v>
      </c>
      <c r="P486" s="306" cm="1">
        <f t="array" ref="P486">INDEX($E$302:$E$676, MATCH($B486, $B$302:$B$676, 0) * MATCH("Brazil", $A$302:$A$676, 0))</f>
        <v>193518.90176102001</v>
      </c>
      <c r="Q486" s="306">
        <f t="shared" si="36"/>
        <v>191870.65783923</v>
      </c>
      <c r="R486" s="336">
        <f>INDEX('Base GDP'!$A$1:$E$76,MATCH(A486,'Base GDP'!$A$1:$A$76,0),4)</f>
        <v>94460.171576160006</v>
      </c>
      <c r="S486" s="336">
        <f>INDEX('Base GDP'!$A$1:$E$76,MATCH(A486,'Base GDP'!$A$1:$A$76,0),5)</f>
        <v>107076.6714533</v>
      </c>
      <c r="T486" s="335">
        <f t="shared" si="37"/>
        <v>2.3988663611657992E-2</v>
      </c>
      <c r="U486" s="335">
        <f t="shared" si="38"/>
        <v>1.770234241019249E-2</v>
      </c>
      <c r="V486" s="335">
        <f t="shared" si="39"/>
        <v>-6.2863212014655015E-3</v>
      </c>
    </row>
    <row r="487" spans="1:22" x14ac:dyDescent="0.45">
      <c r="A487" s="293" t="s">
        <v>151</v>
      </c>
      <c r="B487" s="297" t="s">
        <v>6</v>
      </c>
      <c r="C487" s="293" t="str">
        <f t="shared" si="35"/>
        <v>NorwayManufacture of machinery and equipment n.e.c. (C28)</v>
      </c>
      <c r="D487" s="297" t="s">
        <v>958</v>
      </c>
      <c r="E487" s="298">
        <v>2380.8275462000001</v>
      </c>
      <c r="F487" s="298">
        <v>1762.5963697899999</v>
      </c>
      <c r="G487" s="302">
        <v>-0.25967070878222531</v>
      </c>
      <c r="H487" s="303">
        <v>16008.247090980001</v>
      </c>
      <c r="I487" s="298">
        <v>2753.2523310299998</v>
      </c>
      <c r="J487" s="298">
        <v>1762.5963697899999</v>
      </c>
      <c r="K487" s="302">
        <v>-0.35981299282851875</v>
      </c>
      <c r="L487" s="298">
        <v>1928.26173507</v>
      </c>
      <c r="M487" s="298">
        <v>2027.5891966700001</v>
      </c>
      <c r="N487" s="298">
        <v>2105.7421730299998</v>
      </c>
      <c r="O487" s="306">
        <v>2302.5345039600002</v>
      </c>
      <c r="P487" s="306" cm="1">
        <f t="array" ref="P487">INDEX($E$302:$E$676, MATCH($B487, $B$302:$B$676, 0) * MATCH("Brazil", $A$302:$A$676, 0))</f>
        <v>193518.90176102001</v>
      </c>
      <c r="Q487" s="306">
        <f t="shared" si="36"/>
        <v>191138.07421482002</v>
      </c>
      <c r="R487" s="336">
        <f>INDEX('Base GDP'!$A$1:$E$76,MATCH(A487,'Base GDP'!$A$1:$A$76,0),4)</f>
        <v>386512.35690163</v>
      </c>
      <c r="S487" s="336">
        <f>INDEX('Base GDP'!$A$1:$E$76,MATCH(A487,'Base GDP'!$A$1:$A$76,0),5)</f>
        <v>418559.21595058002</v>
      </c>
      <c r="T487" s="335">
        <f t="shared" si="37"/>
        <v>7.1233229206452541E-3</v>
      </c>
      <c r="U487" s="335">
        <f t="shared" si="38"/>
        <v>4.2111039552360794E-3</v>
      </c>
      <c r="V487" s="335">
        <f t="shared" si="39"/>
        <v>-2.9122189654091747E-3</v>
      </c>
    </row>
    <row r="488" spans="1:22" x14ac:dyDescent="0.45">
      <c r="A488" s="293" t="s">
        <v>145</v>
      </c>
      <c r="B488" s="297" t="s">
        <v>6</v>
      </c>
      <c r="C488" s="293" t="str">
        <f t="shared" si="35"/>
        <v>South AfricaManufacture of machinery and equipment n.e.c. (C28)</v>
      </c>
      <c r="D488" s="297" t="s">
        <v>958</v>
      </c>
      <c r="E488" s="298">
        <v>1668.58078301</v>
      </c>
      <c r="F488" s="298">
        <v>1596.39490877</v>
      </c>
      <c r="G488" s="302">
        <v>-4.3261839627435905E-2</v>
      </c>
      <c r="H488" s="303">
        <v>16720.493854170003</v>
      </c>
      <c r="I488" s="298">
        <v>1585.99048808</v>
      </c>
      <c r="J488" s="298">
        <v>1596.39490877</v>
      </c>
      <c r="K488" s="302">
        <v>6.5602037138290381E-3</v>
      </c>
      <c r="L488" s="298">
        <v>1713.8347476399999</v>
      </c>
      <c r="M488" s="298">
        <v>1832.84666341</v>
      </c>
      <c r="N488" s="298">
        <v>1937.0958507099999</v>
      </c>
      <c r="O488" s="306">
        <v>2180.15315676</v>
      </c>
      <c r="P488" s="306" cm="1">
        <f t="array" ref="P488">INDEX($E$302:$E$676, MATCH($B488, $B$302:$B$676, 0) * MATCH("Brazil", $A$302:$A$676, 0))</f>
        <v>193518.90176102001</v>
      </c>
      <c r="Q488" s="306">
        <f t="shared" si="36"/>
        <v>191850.32097801002</v>
      </c>
      <c r="R488" s="336">
        <f>INDEX('Base GDP'!$A$1:$E$76,MATCH(A488,'Base GDP'!$A$1:$A$76,0),4)</f>
        <v>375376.48654821003</v>
      </c>
      <c r="S488" s="336">
        <f>INDEX('Base GDP'!$A$1:$E$76,MATCH(A488,'Base GDP'!$A$1:$A$76,0),5)</f>
        <v>383209.69906191999</v>
      </c>
      <c r="T488" s="335">
        <f t="shared" si="37"/>
        <v>4.2250661533545716E-3</v>
      </c>
      <c r="U488" s="335">
        <f t="shared" si="38"/>
        <v>4.1658520457021377E-3</v>
      </c>
      <c r="V488" s="335">
        <f t="shared" si="39"/>
        <v>-5.9214107652433984E-5</v>
      </c>
    </row>
    <row r="489" spans="1:22" x14ac:dyDescent="0.45">
      <c r="A489" s="293" t="s">
        <v>163</v>
      </c>
      <c r="B489" s="297" t="s">
        <v>6</v>
      </c>
      <c r="C489" s="293" t="str">
        <f t="shared" si="35"/>
        <v>New ZealandManufacture of machinery and equipment n.e.c. (C28)</v>
      </c>
      <c r="D489" s="297" t="s">
        <v>958</v>
      </c>
      <c r="E489" s="298">
        <v>1011.28048355</v>
      </c>
      <c r="F489" s="298">
        <v>1558.03205832</v>
      </c>
      <c r="G489" s="302">
        <v>0.54065275031382276</v>
      </c>
      <c r="H489" s="303">
        <v>17377.794153630002</v>
      </c>
      <c r="I489" s="298">
        <v>1071.67271878</v>
      </c>
      <c r="J489" s="298">
        <v>1558.03205832</v>
      </c>
      <c r="K489" s="302">
        <v>0.45383196848910656</v>
      </c>
      <c r="L489" s="298">
        <v>1575.8532499400001</v>
      </c>
      <c r="M489" s="298">
        <v>1683.9536770300001</v>
      </c>
      <c r="N489" s="298">
        <v>1772.1194760599999</v>
      </c>
      <c r="O489" s="306">
        <v>1974.6740093599999</v>
      </c>
      <c r="P489" s="306" cm="1">
        <f t="array" ref="P489">INDEX($E$302:$E$676, MATCH($B489, $B$302:$B$676, 0) * MATCH("Brazil", $A$302:$A$676, 0))</f>
        <v>193518.90176102001</v>
      </c>
      <c r="Q489" s="306">
        <f t="shared" si="36"/>
        <v>192507.62127747</v>
      </c>
      <c r="R489" s="336">
        <f>INDEX('Base GDP'!$A$1:$E$76,MATCH(A489,'Base GDP'!$A$1:$A$76,0),4)</f>
        <v>180884.85070677</v>
      </c>
      <c r="S489" s="336">
        <f>INDEX('Base GDP'!$A$1:$E$76,MATCH(A489,'Base GDP'!$A$1:$A$76,0),5)</f>
        <v>220909.49174857</v>
      </c>
      <c r="T489" s="335">
        <f t="shared" si="37"/>
        <v>5.9246128937424074E-3</v>
      </c>
      <c r="U489" s="335">
        <f t="shared" si="38"/>
        <v>7.0528072197698381E-3</v>
      </c>
      <c r="V489" s="335">
        <f t="shared" si="39"/>
        <v>1.1281943260274306E-3</v>
      </c>
    </row>
    <row r="490" spans="1:22" x14ac:dyDescent="0.45">
      <c r="A490" s="293" t="s">
        <v>143</v>
      </c>
      <c r="B490" s="297" t="s">
        <v>6</v>
      </c>
      <c r="C490" s="293" t="str">
        <f t="shared" si="35"/>
        <v>United Arab EmiratesManufacture of machinery and equipment n.e.c. (C28)</v>
      </c>
      <c r="D490" s="297" t="s">
        <v>958</v>
      </c>
      <c r="E490" s="298">
        <v>560.39697349000005</v>
      </c>
      <c r="F490" s="298">
        <v>1535.49971312</v>
      </c>
      <c r="G490" s="302">
        <v>1.7400214236656653</v>
      </c>
      <c r="H490" s="303">
        <v>17828.677663690003</v>
      </c>
      <c r="I490" s="298">
        <v>850.50930884000002</v>
      </c>
      <c r="J490" s="298">
        <v>1535.49971312</v>
      </c>
      <c r="K490" s="302">
        <v>0.80538848565249754</v>
      </c>
      <c r="L490" s="298">
        <v>1995.6257787699999</v>
      </c>
      <c r="M490" s="298">
        <v>2268.60272859</v>
      </c>
      <c r="N490" s="298">
        <v>2477.1692387600001</v>
      </c>
      <c r="O490" s="306">
        <v>2992.8363880699999</v>
      </c>
      <c r="P490" s="306" cm="1">
        <f t="array" ref="P490">INDEX($E$302:$E$676, MATCH($B490, $B$302:$B$676, 0) * MATCH("Brazil", $A$302:$A$676, 0))</f>
        <v>193518.90176102001</v>
      </c>
      <c r="Q490" s="306">
        <f t="shared" si="36"/>
        <v>192958.50478753002</v>
      </c>
      <c r="R490" s="336">
        <f>INDEX('Base GDP'!$A$1:$E$76,MATCH(A490,'Base GDP'!$A$1:$A$76,0),4)</f>
        <v>383753.13090967003</v>
      </c>
      <c r="S490" s="336">
        <f>INDEX('Base GDP'!$A$1:$E$76,MATCH(A490,'Base GDP'!$A$1:$A$76,0),5)</f>
        <v>414599.77007557999</v>
      </c>
      <c r="T490" s="335">
        <f t="shared" si="37"/>
        <v>2.2162928203970735E-3</v>
      </c>
      <c r="U490" s="335">
        <f t="shared" si="38"/>
        <v>3.7035710676831396E-3</v>
      </c>
      <c r="V490" s="335">
        <f t="shared" si="39"/>
        <v>1.4872782472860661E-3</v>
      </c>
    </row>
    <row r="491" spans="1:22" x14ac:dyDescent="0.45">
      <c r="A491" s="293" t="s">
        <v>105</v>
      </c>
      <c r="B491" s="297" t="s">
        <v>6</v>
      </c>
      <c r="C491" s="293" t="str">
        <f t="shared" si="35"/>
        <v>Saudi ArabiaManufacture of machinery and equipment n.e.c. (C28)</v>
      </c>
      <c r="D491" s="297" t="s">
        <v>958</v>
      </c>
      <c r="E491" s="298">
        <v>1057.42615411</v>
      </c>
      <c r="F491" s="298">
        <v>1341.82077936</v>
      </c>
      <c r="G491" s="302">
        <v>0.26894986864531023</v>
      </c>
      <c r="H491" s="303">
        <v>17331.648483070003</v>
      </c>
      <c r="I491" s="298">
        <v>1266.2875933299999</v>
      </c>
      <c r="J491" s="298">
        <v>1341.82077936</v>
      </c>
      <c r="K491" s="302">
        <v>5.9649313811381388E-2</v>
      </c>
      <c r="L491" s="298">
        <v>1518.97694568</v>
      </c>
      <c r="M491" s="298">
        <v>1691.5311545100001</v>
      </c>
      <c r="N491" s="298">
        <v>1898.14677385</v>
      </c>
      <c r="O491" s="306">
        <v>2308.44687853</v>
      </c>
      <c r="P491" s="306" cm="1">
        <f t="array" ref="P491">INDEX($E$302:$E$676, MATCH($B491, $B$302:$B$676, 0) * MATCH("Brazil", $A$302:$A$676, 0))</f>
        <v>193518.90176102001</v>
      </c>
      <c r="Q491" s="306">
        <f t="shared" si="36"/>
        <v>192461.47560691001</v>
      </c>
      <c r="R491" s="336">
        <f>INDEX('Base GDP'!$A$1:$E$76,MATCH(A491,'Base GDP'!$A$1:$A$76,0),4)</f>
        <v>791157.39281293005</v>
      </c>
      <c r="S491" s="336">
        <f>INDEX('Base GDP'!$A$1:$E$76,MATCH(A491,'Base GDP'!$A$1:$A$76,0),5)</f>
        <v>836861.61444072996</v>
      </c>
      <c r="T491" s="335">
        <f t="shared" si="37"/>
        <v>1.6005507941065462E-3</v>
      </c>
      <c r="U491" s="335">
        <f t="shared" si="38"/>
        <v>1.6033962559708649E-3</v>
      </c>
      <c r="V491" s="335">
        <f t="shared" si="39"/>
        <v>2.8454618643187265E-6</v>
      </c>
    </row>
    <row r="492" spans="1:22" x14ac:dyDescent="0.45">
      <c r="A492" s="293" t="s">
        <v>162</v>
      </c>
      <c r="B492" s="297" t="s">
        <v>6</v>
      </c>
      <c r="C492" s="293" t="str">
        <f t="shared" si="35"/>
        <v>RomaniaManufacture of machinery and equipment n.e.c. (C28)</v>
      </c>
      <c r="D492" s="297" t="s">
        <v>958</v>
      </c>
      <c r="E492" s="298">
        <v>791.15838649</v>
      </c>
      <c r="F492" s="298">
        <v>1313.6098025399999</v>
      </c>
      <c r="G492" s="302">
        <v>0.66036260876646047</v>
      </c>
      <c r="H492" s="303">
        <v>17597.916250690003</v>
      </c>
      <c r="I492" s="298">
        <v>1050.1240797800001</v>
      </c>
      <c r="J492" s="298">
        <v>1313.6098025399999</v>
      </c>
      <c r="K492" s="302">
        <v>0.25090913334279485</v>
      </c>
      <c r="L492" s="298">
        <v>1672.7063888600001</v>
      </c>
      <c r="M492" s="298">
        <v>1858.72455298</v>
      </c>
      <c r="N492" s="298">
        <v>1976.40542123</v>
      </c>
      <c r="O492" s="306">
        <v>2211.6711936699999</v>
      </c>
      <c r="P492" s="306" cm="1">
        <f t="array" ref="P492">INDEX($E$302:$E$676, MATCH($B492, $B$302:$B$676, 0) * MATCH("Brazil", $A$302:$A$676, 0))</f>
        <v>193518.90176102001</v>
      </c>
      <c r="Q492" s="306">
        <f t="shared" si="36"/>
        <v>192727.74337453002</v>
      </c>
      <c r="R492" s="336">
        <f>INDEX('Base GDP'!$A$1:$E$76,MATCH(A492,'Base GDP'!$A$1:$A$76,0),4)</f>
        <v>204518.17392167001</v>
      </c>
      <c r="S492" s="336">
        <f>INDEX('Base GDP'!$A$1:$E$76,MATCH(A492,'Base GDP'!$A$1:$A$76,0),5)</f>
        <v>254974.25152873</v>
      </c>
      <c r="T492" s="335">
        <f t="shared" si="37"/>
        <v>5.1346247604488939E-3</v>
      </c>
      <c r="U492" s="335">
        <f t="shared" si="38"/>
        <v>5.1519312035003071E-3</v>
      </c>
      <c r="V492" s="335">
        <f t="shared" si="39"/>
        <v>1.7306443051413184E-5</v>
      </c>
    </row>
    <row r="493" spans="1:22" x14ac:dyDescent="0.45">
      <c r="A493" s="293" t="s">
        <v>161</v>
      </c>
      <c r="B493" s="297" t="s">
        <v>6</v>
      </c>
      <c r="C493" s="293" t="str">
        <f t="shared" si="35"/>
        <v>PortugalManufacture of machinery and equipment n.e.c. (C28)</v>
      </c>
      <c r="D493" s="297" t="s">
        <v>958</v>
      </c>
      <c r="E493" s="298">
        <v>1012.36101208</v>
      </c>
      <c r="F493" s="298">
        <v>1145.91789223</v>
      </c>
      <c r="G493" s="302">
        <v>0.13192613954541144</v>
      </c>
      <c r="H493" s="303">
        <v>17376.713625100001</v>
      </c>
      <c r="I493" s="298">
        <v>1083.9494040699999</v>
      </c>
      <c r="J493" s="298">
        <v>1145.91789223</v>
      </c>
      <c r="K493" s="302">
        <v>5.716917037577729E-2</v>
      </c>
      <c r="L493" s="298">
        <v>1192.2294978800001</v>
      </c>
      <c r="M493" s="298">
        <v>1275.2235116100001</v>
      </c>
      <c r="N493" s="298">
        <v>1334.88777615</v>
      </c>
      <c r="O493" s="306">
        <v>1475.55612933</v>
      </c>
      <c r="P493" s="306" cm="1">
        <f t="array" ref="P493">INDEX($E$302:$E$676, MATCH($B493, $B$302:$B$676, 0) * MATCH("Brazil", $A$302:$A$676, 0))</f>
        <v>193518.90176102001</v>
      </c>
      <c r="Q493" s="306">
        <f t="shared" si="36"/>
        <v>192506.54074894002</v>
      </c>
      <c r="R493" s="336">
        <f>INDEX('Base GDP'!$A$1:$E$76,MATCH(A493,'Base GDP'!$A$1:$A$76,0),4)</f>
        <v>215192.52938671</v>
      </c>
      <c r="S493" s="336">
        <f>INDEX('Base GDP'!$A$1:$E$76,MATCH(A493,'Base GDP'!$A$1:$A$76,0),5)</f>
        <v>232686.90641277001</v>
      </c>
      <c r="T493" s="335">
        <f t="shared" si="37"/>
        <v>5.0371144721390272E-3</v>
      </c>
      <c r="U493" s="335">
        <f t="shared" si="38"/>
        <v>4.9247201309953522E-3</v>
      </c>
      <c r="V493" s="335">
        <f t="shared" si="39"/>
        <v>-1.1239434114367498E-4</v>
      </c>
    </row>
    <row r="494" spans="1:22" x14ac:dyDescent="0.45">
      <c r="A494" s="293" t="s">
        <v>149</v>
      </c>
      <c r="B494" s="297" t="s">
        <v>6</v>
      </c>
      <c r="C494" s="293" t="str">
        <f t="shared" si="35"/>
        <v>UkraineManufacture of machinery and equipment n.e.c. (C28)</v>
      </c>
      <c r="D494" s="297" t="s">
        <v>958</v>
      </c>
      <c r="E494" s="298">
        <v>1281.2158688699999</v>
      </c>
      <c r="F494" s="298">
        <v>1009.59498018</v>
      </c>
      <c r="G494" s="302">
        <v>-0.21200243869096214</v>
      </c>
      <c r="H494" s="303">
        <v>17107.858768310001</v>
      </c>
      <c r="I494" s="298">
        <v>1031.0244804399999</v>
      </c>
      <c r="J494" s="298">
        <v>1009.59498018</v>
      </c>
      <c r="K494" s="302">
        <v>-2.0784666772271643E-2</v>
      </c>
      <c r="L494" s="298">
        <v>674.73065313999996</v>
      </c>
      <c r="M494" s="298">
        <v>839.49366006000002</v>
      </c>
      <c r="N494" s="298">
        <v>1080.57542223</v>
      </c>
      <c r="O494" s="306">
        <v>1777.4592050900001</v>
      </c>
      <c r="P494" s="306" cm="1">
        <f t="array" ref="P494">INDEX($E$302:$E$676, MATCH($B494, $B$302:$B$676, 0) * MATCH("Brazil", $A$302:$A$676, 0))</f>
        <v>193518.90176102001</v>
      </c>
      <c r="Q494" s="306">
        <f t="shared" si="36"/>
        <v>192237.68589215001</v>
      </c>
      <c r="R494" s="336">
        <f>INDEX('Base GDP'!$A$1:$E$76,MATCH(A494,'Base GDP'!$A$1:$A$76,0),4)</f>
        <v>137743.94890503999</v>
      </c>
      <c r="S494" s="336">
        <f>INDEX('Base GDP'!$A$1:$E$76,MATCH(A494,'Base GDP'!$A$1:$A$76,0),5)</f>
        <v>153275.23415388001</v>
      </c>
      <c r="T494" s="335">
        <f t="shared" si="37"/>
        <v>7.4850800244646914E-3</v>
      </c>
      <c r="U494" s="335">
        <f t="shared" si="38"/>
        <v>6.5868108814397339E-3</v>
      </c>
      <c r="V494" s="335">
        <f t="shared" si="39"/>
        <v>-8.9826914302495748E-4</v>
      </c>
    </row>
    <row r="495" spans="1:22" x14ac:dyDescent="0.45">
      <c r="A495" s="293" t="s">
        <v>107</v>
      </c>
      <c r="B495" s="297" t="s">
        <v>6</v>
      </c>
      <c r="C495" s="293" t="str">
        <f t="shared" si="35"/>
        <v>IranManufacture of machinery and equipment n.e.c. (C28)</v>
      </c>
      <c r="D495" s="297" t="s">
        <v>958</v>
      </c>
      <c r="E495" s="298">
        <v>884.78386306000004</v>
      </c>
      <c r="F495" s="298">
        <v>996.93087410999999</v>
      </c>
      <c r="G495" s="302">
        <v>0.12675074188417357</v>
      </c>
      <c r="H495" s="303">
        <v>17504.29077412</v>
      </c>
      <c r="I495" s="298">
        <v>1011.34667796</v>
      </c>
      <c r="J495" s="298">
        <v>996.93087410999999</v>
      </c>
      <c r="K495" s="302">
        <v>-1.4254067536048298E-2</v>
      </c>
      <c r="L495" s="298">
        <v>1261.81027913</v>
      </c>
      <c r="M495" s="298">
        <v>1416.4480020799999</v>
      </c>
      <c r="N495" s="298">
        <v>1498.03285592</v>
      </c>
      <c r="O495" s="306">
        <v>1653.7876851000001</v>
      </c>
      <c r="P495" s="306" cm="1">
        <f t="array" ref="P495">INDEX($E$302:$E$676, MATCH($B495, $B$302:$B$676, 0) * MATCH("Brazil", $A$302:$A$676, 0))</f>
        <v>193518.90176102001</v>
      </c>
      <c r="Q495" s="306">
        <f t="shared" si="36"/>
        <v>192634.11789796001</v>
      </c>
      <c r="R495" s="336">
        <f>INDEX('Base GDP'!$A$1:$E$76,MATCH(A495,'Base GDP'!$A$1:$A$76,0),4)</f>
        <v>195024.47923529</v>
      </c>
      <c r="S495" s="336">
        <f>INDEX('Base GDP'!$A$1:$E$76,MATCH(A495,'Base GDP'!$A$1:$A$76,0),5)</f>
        <v>224406.94908081999</v>
      </c>
      <c r="T495" s="335">
        <f t="shared" si="37"/>
        <v>5.185742230542488E-3</v>
      </c>
      <c r="U495" s="335">
        <f t="shared" si="38"/>
        <v>4.4425133811295484E-3</v>
      </c>
      <c r="V495" s="335">
        <f t="shared" si="39"/>
        <v>-7.4322884941293958E-4</v>
      </c>
    </row>
    <row r="496" spans="1:22" x14ac:dyDescent="0.45">
      <c r="A496" s="293" t="s">
        <v>122</v>
      </c>
      <c r="B496" s="297" t="s">
        <v>6</v>
      </c>
      <c r="C496" s="293" t="str">
        <f t="shared" si="35"/>
        <v>VietnamManufacture of machinery and equipment n.e.c. (C28)</v>
      </c>
      <c r="D496" s="297" t="s">
        <v>958</v>
      </c>
      <c r="E496" s="298">
        <v>493.66391128999999</v>
      </c>
      <c r="F496" s="298">
        <v>991.33537362000004</v>
      </c>
      <c r="G496" s="302">
        <v>1.0081179744930675</v>
      </c>
      <c r="H496" s="303">
        <v>17895.41072589</v>
      </c>
      <c r="I496" s="298">
        <v>732.42843703000005</v>
      </c>
      <c r="J496" s="298">
        <v>991.33537362000004</v>
      </c>
      <c r="K496" s="302">
        <v>0.35349110370409509</v>
      </c>
      <c r="L496" s="298">
        <v>1339.6166317699999</v>
      </c>
      <c r="M496" s="298">
        <v>1786.51776688</v>
      </c>
      <c r="N496" s="298">
        <v>2189.3398000000002</v>
      </c>
      <c r="O496" s="306">
        <v>3359.5124952000001</v>
      </c>
      <c r="P496" s="306" cm="1">
        <f t="array" ref="P496">INDEX($E$302:$E$676, MATCH($B496, $B$302:$B$676, 0) * MATCH("Brazil", $A$302:$A$676, 0))</f>
        <v>193518.90176102001</v>
      </c>
      <c r="Q496" s="306">
        <f t="shared" si="36"/>
        <v>193025.23784973001</v>
      </c>
      <c r="R496" s="336">
        <f>INDEX('Base GDP'!$A$1:$E$76,MATCH(A496,'Base GDP'!$A$1:$A$76,0),4)</f>
        <v>254018.52751081</v>
      </c>
      <c r="S496" s="336">
        <f>INDEX('Base GDP'!$A$1:$E$76,MATCH(A496,'Base GDP'!$A$1:$A$76,0),5)</f>
        <v>352775.42056751001</v>
      </c>
      <c r="T496" s="335">
        <f t="shared" si="37"/>
        <v>2.8833662024862769E-3</v>
      </c>
      <c r="U496" s="335">
        <f t="shared" si="38"/>
        <v>2.8101033003524972E-3</v>
      </c>
      <c r="V496" s="335">
        <f t="shared" si="39"/>
        <v>-7.3262902133779725E-5</v>
      </c>
    </row>
    <row r="497" spans="1:22" x14ac:dyDescent="0.45">
      <c r="A497" s="293" t="s">
        <v>159</v>
      </c>
      <c r="B497" s="297" t="s">
        <v>6</v>
      </c>
      <c r="C497" s="293" t="str">
        <f t="shared" si="35"/>
        <v>KuwaitManufacture of machinery and equipment n.e.c. (C28)</v>
      </c>
      <c r="D497" s="297" t="s">
        <v>958</v>
      </c>
      <c r="E497" s="298">
        <v>558.64066098000001</v>
      </c>
      <c r="F497" s="298">
        <v>834.05460550999999</v>
      </c>
      <c r="G497" s="302">
        <v>0.49300733685738662</v>
      </c>
      <c r="H497" s="303">
        <v>17830.433976200002</v>
      </c>
      <c r="I497" s="298">
        <v>671.60356657</v>
      </c>
      <c r="J497" s="298">
        <v>834.05460550999999</v>
      </c>
      <c r="K497" s="302">
        <v>0.24188531304213678</v>
      </c>
      <c r="L497" s="298">
        <v>1044.5399247600001</v>
      </c>
      <c r="M497" s="298">
        <v>1137.7609128300001</v>
      </c>
      <c r="N497" s="298">
        <v>1174.9739176099999</v>
      </c>
      <c r="O497" s="306">
        <v>1271.6611659099999</v>
      </c>
      <c r="P497" s="306" cm="1">
        <f t="array" ref="P497">INDEX($E$302:$E$676, MATCH($B497, $B$302:$B$676, 0) * MATCH("Brazil", $A$302:$A$676, 0))</f>
        <v>193518.90176102001</v>
      </c>
      <c r="Q497" s="306">
        <f t="shared" si="36"/>
        <v>192960.26110004002</v>
      </c>
      <c r="R497" s="336">
        <f>INDEX('Base GDP'!$A$1:$E$76,MATCH(A497,'Base GDP'!$A$1:$A$76,0),4)</f>
        <v>136318.13330372999</v>
      </c>
      <c r="S497" s="336">
        <f>INDEX('Base GDP'!$A$1:$E$76,MATCH(A497,'Base GDP'!$A$1:$A$76,0),5)</f>
        <v>128320.86664452001</v>
      </c>
      <c r="T497" s="335">
        <f t="shared" si="37"/>
        <v>4.9267368199181708E-3</v>
      </c>
      <c r="U497" s="335">
        <f t="shared" si="38"/>
        <v>6.4997582023860077E-3</v>
      </c>
      <c r="V497" s="335">
        <f t="shared" si="39"/>
        <v>1.5730213824678369E-3</v>
      </c>
    </row>
    <row r="498" spans="1:22" x14ac:dyDescent="0.45">
      <c r="A498" s="293" t="s">
        <v>147</v>
      </c>
      <c r="B498" s="297" t="s">
        <v>6</v>
      </c>
      <c r="C498" s="293" t="str">
        <f t="shared" si="35"/>
        <v>PeruManufacture of machinery and equipment n.e.c. (C28)</v>
      </c>
      <c r="D498" s="297" t="s">
        <v>958</v>
      </c>
      <c r="E498" s="298">
        <v>851.28457595999998</v>
      </c>
      <c r="F498" s="298">
        <v>773.84996051999997</v>
      </c>
      <c r="G498" s="302">
        <v>-9.0962079693123088E-2</v>
      </c>
      <c r="H498" s="303">
        <v>17537.790061220003</v>
      </c>
      <c r="I498" s="298">
        <v>789.42091517999995</v>
      </c>
      <c r="J498" s="298">
        <v>773.84996051999997</v>
      </c>
      <c r="K498" s="302">
        <v>-1.9724527638654732E-2</v>
      </c>
      <c r="L498" s="298">
        <v>934.09809292</v>
      </c>
      <c r="M498" s="298">
        <v>1072.3101822000001</v>
      </c>
      <c r="N498" s="298">
        <v>1190.4938762199999</v>
      </c>
      <c r="O498" s="306">
        <v>1533.2692605</v>
      </c>
      <c r="P498" s="306" cm="1">
        <f t="array" ref="P498">INDEX($E$302:$E$676, MATCH($B498, $B$302:$B$676, 0) * MATCH("Brazil", $A$302:$A$676, 0))</f>
        <v>193518.90176102001</v>
      </c>
      <c r="Q498" s="306">
        <f t="shared" si="36"/>
        <v>192667.61718506002</v>
      </c>
      <c r="R498" s="336">
        <f>INDEX('Base GDP'!$A$1:$E$76,MATCH(A498,'Base GDP'!$A$1:$A$76,0),4)</f>
        <v>205342.67167914001</v>
      </c>
      <c r="S498" s="336">
        <f>INDEX('Base GDP'!$A$1:$E$76,MATCH(A498,'Base GDP'!$A$1:$A$76,0),5)</f>
        <v>235110.76142220001</v>
      </c>
      <c r="T498" s="335">
        <f t="shared" si="37"/>
        <v>3.8444075394787718E-3</v>
      </c>
      <c r="U498" s="335">
        <f t="shared" si="38"/>
        <v>3.2914272228073789E-3</v>
      </c>
      <c r="V498" s="335">
        <f t="shared" si="39"/>
        <v>-5.5298031667139289E-4</v>
      </c>
    </row>
    <row r="499" spans="1:22" x14ac:dyDescent="0.45">
      <c r="A499" s="293" t="s">
        <v>146</v>
      </c>
      <c r="B499" s="297" t="s">
        <v>6</v>
      </c>
      <c r="C499" s="293" t="str">
        <f t="shared" si="35"/>
        <v>EgyptManufacture of machinery and equipment n.e.c. (C28)</v>
      </c>
      <c r="D499" s="297" t="s">
        <v>958</v>
      </c>
      <c r="E499" s="298">
        <v>697.51608849000002</v>
      </c>
      <c r="F499" s="298">
        <v>756.02945475000001</v>
      </c>
      <c r="G499" s="302">
        <v>8.3888195878995653E-2</v>
      </c>
      <c r="H499" s="303">
        <v>17691.558548690002</v>
      </c>
      <c r="I499" s="298">
        <v>683.80134825000005</v>
      </c>
      <c r="J499" s="298">
        <v>756.02945475000001</v>
      </c>
      <c r="K499" s="302">
        <v>0.10562732390751761</v>
      </c>
      <c r="L499" s="298">
        <v>808.73405392999996</v>
      </c>
      <c r="M499" s="298">
        <v>967.78570212</v>
      </c>
      <c r="N499" s="298">
        <v>1079.4396107099999</v>
      </c>
      <c r="O499" s="306">
        <v>1402.80327066</v>
      </c>
      <c r="P499" s="306" cm="1">
        <f t="array" ref="P499">INDEX($E$302:$E$676, MATCH($B499, $B$302:$B$676, 0) * MATCH("Brazil", $A$302:$A$676, 0))</f>
        <v>193518.90176102001</v>
      </c>
      <c r="Q499" s="306">
        <f t="shared" si="36"/>
        <v>192821.38567253001</v>
      </c>
      <c r="R499" s="336">
        <f>INDEX('Base GDP'!$A$1:$E$76,MATCH(A499,'Base GDP'!$A$1:$A$76,0),4)</f>
        <v>276522.47435759002</v>
      </c>
      <c r="S499" s="336">
        <f>INDEX('Base GDP'!$A$1:$E$76,MATCH(A499,'Base GDP'!$A$1:$A$76,0),5)</f>
        <v>357883.01385108999</v>
      </c>
      <c r="T499" s="335">
        <f t="shared" si="37"/>
        <v>2.4728599360272249E-3</v>
      </c>
      <c r="U499" s="335">
        <f t="shared" si="38"/>
        <v>2.1125044371750291E-3</v>
      </c>
      <c r="V499" s="335">
        <f t="shared" si="39"/>
        <v>-3.603554988521958E-4</v>
      </c>
    </row>
    <row r="500" spans="1:22" x14ac:dyDescent="0.45">
      <c r="A500" s="293" t="s">
        <v>160</v>
      </c>
      <c r="B500" s="297" t="s">
        <v>6</v>
      </c>
      <c r="C500" s="293" t="str">
        <f t="shared" si="35"/>
        <v>BulgariaManufacture of machinery and equipment n.e.c. (C28)</v>
      </c>
      <c r="D500" s="297" t="s">
        <v>958</v>
      </c>
      <c r="E500" s="298">
        <v>429.93501078000003</v>
      </c>
      <c r="F500" s="298">
        <v>689.76308709</v>
      </c>
      <c r="G500" s="302">
        <v>0.60434267923101359</v>
      </c>
      <c r="H500" s="303">
        <v>17959.139626400003</v>
      </c>
      <c r="I500" s="298">
        <v>587.03486730999998</v>
      </c>
      <c r="J500" s="298">
        <v>689.76308709</v>
      </c>
      <c r="K500" s="302">
        <v>0.17499509058250129</v>
      </c>
      <c r="L500" s="298">
        <v>794.55534305000003</v>
      </c>
      <c r="M500" s="298">
        <v>878.61051273999999</v>
      </c>
      <c r="N500" s="298">
        <v>928.09916739000005</v>
      </c>
      <c r="O500" s="306">
        <v>1031.82675002</v>
      </c>
      <c r="P500" s="306" cm="1">
        <f t="array" ref="P500">INDEX($E$302:$E$676, MATCH($B500, $B$302:$B$676, 0) * MATCH("Brazil", $A$302:$A$676, 0))</f>
        <v>193518.90176102001</v>
      </c>
      <c r="Q500" s="306">
        <f t="shared" si="36"/>
        <v>193088.96675024001</v>
      </c>
      <c r="R500" s="336">
        <f>INDEX('Base GDP'!$A$1:$E$76,MATCH(A500,'Base GDP'!$A$1:$A$76,0),4)</f>
        <v>60854.013563</v>
      </c>
      <c r="S500" s="336">
        <f>INDEX('Base GDP'!$A$1:$E$76,MATCH(A500,'Base GDP'!$A$1:$A$76,0),5)</f>
        <v>70836.911882080007</v>
      </c>
      <c r="T500" s="335">
        <f t="shared" si="37"/>
        <v>9.6466088748980144E-3</v>
      </c>
      <c r="U500" s="335">
        <f t="shared" si="38"/>
        <v>9.7373398806292841E-3</v>
      </c>
      <c r="V500" s="335">
        <f t="shared" si="39"/>
        <v>9.073100573126977E-5</v>
      </c>
    </row>
    <row r="501" spans="1:22" x14ac:dyDescent="0.45">
      <c r="A501" s="293" t="s">
        <v>153</v>
      </c>
      <c r="B501" s="297" t="s">
        <v>6</v>
      </c>
      <c r="C501" s="293" t="str">
        <f t="shared" si="35"/>
        <v>OmanManufacture of machinery and equipment n.e.c. (C28)</v>
      </c>
      <c r="D501" s="297" t="s">
        <v>958</v>
      </c>
      <c r="E501" s="298">
        <v>354.51346797999997</v>
      </c>
      <c r="F501" s="298">
        <v>594.46200870999996</v>
      </c>
      <c r="G501" s="302">
        <v>0.6768389988036696</v>
      </c>
      <c r="H501" s="303">
        <v>18034.561169200002</v>
      </c>
      <c r="I501" s="298">
        <v>584.95040022000001</v>
      </c>
      <c r="J501" s="298">
        <v>594.46200870999996</v>
      </c>
      <c r="K501" s="302">
        <v>1.6260538477147257E-2</v>
      </c>
      <c r="L501" s="298">
        <v>669.24812630999998</v>
      </c>
      <c r="M501" s="298">
        <v>710.11068451000006</v>
      </c>
      <c r="N501" s="298">
        <v>722.64956959999995</v>
      </c>
      <c r="O501" s="306">
        <v>754.80395983999995</v>
      </c>
      <c r="P501" s="306" cm="1">
        <f t="array" ref="P501">INDEX($E$302:$E$676, MATCH($B501, $B$302:$B$676, 0) * MATCH("Brazil", $A$302:$A$676, 0))</f>
        <v>193518.90176102001</v>
      </c>
      <c r="Q501" s="306">
        <f t="shared" si="36"/>
        <v>193164.38829304001</v>
      </c>
      <c r="R501" s="336">
        <f>INDEX('Base GDP'!$A$1:$E$76,MATCH(A501,'Base GDP'!$A$1:$A$76,0),4)</f>
        <v>83456.391863790006</v>
      </c>
      <c r="S501" s="336">
        <f>INDEX('Base GDP'!$A$1:$E$76,MATCH(A501,'Base GDP'!$A$1:$A$76,0),5)</f>
        <v>87715.792114070005</v>
      </c>
      <c r="T501" s="335">
        <f t="shared" si="37"/>
        <v>7.0090545152575404E-3</v>
      </c>
      <c r="U501" s="335">
        <f t="shared" si="38"/>
        <v>6.7771377808106869E-3</v>
      </c>
      <c r="V501" s="335">
        <f t="shared" si="39"/>
        <v>-2.3191673444685357E-4</v>
      </c>
    </row>
    <row r="502" spans="1:22" x14ac:dyDescent="0.45">
      <c r="A502" s="293" t="s">
        <v>150</v>
      </c>
      <c r="B502" s="297" t="s">
        <v>6</v>
      </c>
      <c r="C502" s="293" t="str">
        <f t="shared" si="35"/>
        <v>PhilippinesManufacture of machinery and equipment n.e.c. (C28)</v>
      </c>
      <c r="D502" s="297" t="s">
        <v>958</v>
      </c>
      <c r="E502" s="298">
        <v>273.55175446999999</v>
      </c>
      <c r="F502" s="298">
        <v>521.29217939</v>
      </c>
      <c r="G502" s="302">
        <v>0.90564370680053274</v>
      </c>
      <c r="H502" s="303">
        <v>18115.52288271</v>
      </c>
      <c r="I502" s="298">
        <v>394.97493446999999</v>
      </c>
      <c r="J502" s="298">
        <v>521.29217939</v>
      </c>
      <c r="K502" s="302">
        <v>0.31981078771365512</v>
      </c>
      <c r="L502" s="298">
        <v>797.23080927000001</v>
      </c>
      <c r="M502" s="298">
        <v>949.59318949999999</v>
      </c>
      <c r="N502" s="298">
        <v>1070.2728591499999</v>
      </c>
      <c r="O502" s="306">
        <v>1392.2065790700001</v>
      </c>
      <c r="P502" s="306" cm="1">
        <f t="array" ref="P502">INDEX($E$302:$E$676, MATCH($B502, $B$302:$B$676, 0) * MATCH("Brazil", $A$302:$A$676, 0))</f>
        <v>193518.90176102001</v>
      </c>
      <c r="Q502" s="306">
        <f t="shared" si="36"/>
        <v>193245.35000655</v>
      </c>
      <c r="R502" s="336">
        <f>INDEX('Base GDP'!$A$1:$E$76,MATCH(A502,'Base GDP'!$A$1:$A$76,0),4)</f>
        <v>291518.00825125998</v>
      </c>
      <c r="S502" s="336">
        <f>INDEX('Base GDP'!$A$1:$E$76,MATCH(A502,'Base GDP'!$A$1:$A$76,0),5)</f>
        <v>360513.15606205998</v>
      </c>
      <c r="T502" s="335">
        <f t="shared" si="37"/>
        <v>1.3548903439597128E-3</v>
      </c>
      <c r="U502" s="335">
        <f t="shared" si="38"/>
        <v>1.4459726937129111E-3</v>
      </c>
      <c r="V502" s="335">
        <f t="shared" si="39"/>
        <v>9.1082349753198334E-5</v>
      </c>
    </row>
    <row r="503" spans="1:22" x14ac:dyDescent="0.45">
      <c r="A503" s="293" t="s">
        <v>156</v>
      </c>
      <c r="B503" s="297" t="s">
        <v>6</v>
      </c>
      <c r="C503" s="293" t="str">
        <f t="shared" si="35"/>
        <v>GreeceManufacture of machinery and equipment n.e.c. (C28)</v>
      </c>
      <c r="D503" s="297" t="s">
        <v>958</v>
      </c>
      <c r="E503" s="298">
        <v>528.3932714</v>
      </c>
      <c r="F503" s="298">
        <v>440.10146193999998</v>
      </c>
      <c r="G503" s="302">
        <v>-0.16709487845306437</v>
      </c>
      <c r="H503" s="303">
        <v>17860.681365780001</v>
      </c>
      <c r="I503" s="298">
        <v>375.07447234</v>
      </c>
      <c r="J503" s="298">
        <v>440.10146193999998</v>
      </c>
      <c r="K503" s="302">
        <v>0.17337087537392804</v>
      </c>
      <c r="L503" s="298">
        <v>539.66039020999995</v>
      </c>
      <c r="M503" s="298">
        <v>554.76503141000001</v>
      </c>
      <c r="N503" s="298">
        <v>563.27102802000002</v>
      </c>
      <c r="O503" s="306">
        <v>583.74906587999999</v>
      </c>
      <c r="P503" s="306" cm="1">
        <f t="array" ref="P503">INDEX($E$302:$E$676, MATCH($B503, $B$302:$B$676, 0) * MATCH("Brazil", $A$302:$A$676, 0))</f>
        <v>193518.90176102001</v>
      </c>
      <c r="Q503" s="306">
        <f t="shared" si="36"/>
        <v>192990.50848962</v>
      </c>
      <c r="R503" s="336">
        <f>INDEX('Base GDP'!$A$1:$E$76,MATCH(A503,'Base GDP'!$A$1:$A$76,0),4)</f>
        <v>196841.83448053</v>
      </c>
      <c r="S503" s="336">
        <f>INDEX('Base GDP'!$A$1:$E$76,MATCH(A503,'Base GDP'!$A$1:$A$76,0),5)</f>
        <v>201121.93838619001</v>
      </c>
      <c r="T503" s="335">
        <f t="shared" si="37"/>
        <v>1.9054611705374008E-3</v>
      </c>
      <c r="U503" s="335">
        <f t="shared" si="38"/>
        <v>2.1882320022936861E-3</v>
      </c>
      <c r="V503" s="335">
        <f t="shared" si="39"/>
        <v>2.8277083175628527E-4</v>
      </c>
    </row>
    <row r="504" spans="1:22" x14ac:dyDescent="0.45">
      <c r="A504" s="293" t="s">
        <v>154</v>
      </c>
      <c r="B504" s="297" t="s">
        <v>6</v>
      </c>
      <c r="C504" s="293" t="str">
        <f t="shared" si="35"/>
        <v>PakistanManufacture of machinery and equipment n.e.c. (C28)</v>
      </c>
      <c r="D504" s="297" t="s">
        <v>958</v>
      </c>
      <c r="E504" s="298">
        <v>211.38570168000001</v>
      </c>
      <c r="F504" s="298">
        <v>334.44760604999999</v>
      </c>
      <c r="G504" s="302">
        <v>0.58216758934950863</v>
      </c>
      <c r="H504" s="303">
        <v>18177.688935500002</v>
      </c>
      <c r="I504" s="298">
        <v>255.72091983999999</v>
      </c>
      <c r="J504" s="298">
        <v>334.44760604999999</v>
      </c>
      <c r="K504" s="302">
        <v>0.30786173559542118</v>
      </c>
      <c r="L504" s="298">
        <v>384.43007082999998</v>
      </c>
      <c r="M504" s="298">
        <v>461.66734723000002</v>
      </c>
      <c r="N504" s="298">
        <v>522.24278892999996</v>
      </c>
      <c r="O504" s="306">
        <v>691.42637079999997</v>
      </c>
      <c r="P504" s="306" cm="1">
        <f t="array" ref="P504">INDEX($E$302:$E$676, MATCH($B504, $B$302:$B$676, 0) * MATCH("Brazil", $A$302:$A$676, 0))</f>
        <v>193518.90176102001</v>
      </c>
      <c r="Q504" s="306">
        <f t="shared" si="36"/>
        <v>193307.51605934001</v>
      </c>
      <c r="R504" s="336">
        <f>INDEX('Base GDP'!$A$1:$E$76,MATCH(A504,'Base GDP'!$A$1:$A$76,0),4)</f>
        <v>243681.57424943999</v>
      </c>
      <c r="S504" s="336">
        <f>INDEX('Base GDP'!$A$1:$E$76,MATCH(A504,'Base GDP'!$A$1:$A$76,0),5)</f>
        <v>307178.14587732003</v>
      </c>
      <c r="T504" s="335">
        <f t="shared" si="37"/>
        <v>1.0494060563571218E-3</v>
      </c>
      <c r="U504" s="335">
        <f t="shared" si="38"/>
        <v>1.088774089363671E-3</v>
      </c>
      <c r="V504" s="335">
        <f t="shared" si="39"/>
        <v>3.9368033006549228E-5</v>
      </c>
    </row>
    <row r="505" spans="1:22" x14ac:dyDescent="0.45">
      <c r="A505" s="293" t="s">
        <v>142</v>
      </c>
      <c r="B505" s="297" t="s">
        <v>6</v>
      </c>
      <c r="C505" s="293" t="str">
        <f t="shared" si="35"/>
        <v>ArgentinaManufacture of machinery and equipment n.e.c. (C28)</v>
      </c>
      <c r="D505" s="297" t="s">
        <v>958</v>
      </c>
      <c r="E505" s="298">
        <v>205.46194568000001</v>
      </c>
      <c r="F505" s="298">
        <v>210.72552614</v>
      </c>
      <c r="G505" s="302">
        <v>2.5618274189799672E-2</v>
      </c>
      <c r="H505" s="303">
        <v>18183.612691500002</v>
      </c>
      <c r="I505" s="298">
        <v>206.99762386</v>
      </c>
      <c r="J505" s="298">
        <v>210.72552614</v>
      </c>
      <c r="K505" s="302">
        <v>1.8009396487185247E-2</v>
      </c>
      <c r="L505" s="298">
        <v>243.21238428000001</v>
      </c>
      <c r="M505" s="298">
        <v>266.85938146000001</v>
      </c>
      <c r="N505" s="298">
        <v>286.79813762999999</v>
      </c>
      <c r="O505" s="306">
        <v>346.40021773000001</v>
      </c>
      <c r="P505" s="306" cm="1">
        <f t="array" ref="P505">INDEX($E$302:$E$676, MATCH($B505, $B$302:$B$676, 0) * MATCH("Brazil", $A$302:$A$676, 0))</f>
        <v>193518.90176102001</v>
      </c>
      <c r="Q505" s="306">
        <f t="shared" si="36"/>
        <v>193313.43981534001</v>
      </c>
      <c r="R505" s="336">
        <f>INDEX('Base GDP'!$A$1:$E$76,MATCH(A505,'Base GDP'!$A$1:$A$76,0),4)</f>
        <v>464976.94374428003</v>
      </c>
      <c r="S505" s="336">
        <f>INDEX('Base GDP'!$A$1:$E$76,MATCH(A505,'Base GDP'!$A$1:$A$76,0),5)</f>
        <v>445673.70595729002</v>
      </c>
      <c r="T505" s="335">
        <f t="shared" si="37"/>
        <v>4.4517825377131165E-4</v>
      </c>
      <c r="U505" s="335">
        <f t="shared" si="38"/>
        <v>4.7282467716458536E-4</v>
      </c>
      <c r="V505" s="335">
        <f t="shared" si="39"/>
        <v>2.7646423393273714E-5</v>
      </c>
    </row>
    <row r="506" spans="1:22" x14ac:dyDescent="0.45">
      <c r="A506" s="293" t="s">
        <v>168</v>
      </c>
      <c r="B506" s="297" t="s">
        <v>6</v>
      </c>
      <c r="C506" s="293" t="str">
        <f t="shared" si="35"/>
        <v>TunisiaManufacture of machinery and equipment n.e.c. (C28)</v>
      </c>
      <c r="D506" s="297" t="s">
        <v>958</v>
      </c>
      <c r="E506" s="298">
        <v>191.10794091</v>
      </c>
      <c r="F506" s="298">
        <v>191.81811368000001</v>
      </c>
      <c r="G506" s="302">
        <v>3.7160819514792109E-3</v>
      </c>
      <c r="H506" s="303">
        <v>18197.966696270003</v>
      </c>
      <c r="I506" s="298">
        <v>190.21510201000001</v>
      </c>
      <c r="J506" s="298">
        <v>191.81811368000001</v>
      </c>
      <c r="K506" s="302">
        <v>8.4273627754105629E-3</v>
      </c>
      <c r="L506" s="298">
        <v>206.27005328999999</v>
      </c>
      <c r="M506" s="298">
        <v>222.92492336000001</v>
      </c>
      <c r="N506" s="298">
        <v>236.88057473999999</v>
      </c>
      <c r="O506" s="306">
        <v>272.67990433</v>
      </c>
      <c r="P506" s="306" cm="1">
        <f t="array" ref="P506">INDEX($E$302:$E$676, MATCH($B506, $B$302:$B$676, 0) * MATCH("Brazil", $A$302:$A$676, 0))</f>
        <v>193518.90176102001</v>
      </c>
      <c r="Q506" s="306">
        <f t="shared" si="36"/>
        <v>193327.79382011</v>
      </c>
      <c r="R506" s="336">
        <f>INDEX('Base GDP'!$A$1:$E$76,MATCH(A506,'Base GDP'!$A$1:$A$76,0),4)</f>
        <v>38884.65391288</v>
      </c>
      <c r="S506" s="336">
        <f>INDEX('Base GDP'!$A$1:$E$76,MATCH(A506,'Base GDP'!$A$1:$A$76,0),5)</f>
        <v>40072.692608359997</v>
      </c>
      <c r="T506" s="335">
        <f t="shared" si="37"/>
        <v>4.8917781918844314E-3</v>
      </c>
      <c r="U506" s="335">
        <f t="shared" si="38"/>
        <v>4.786753801514769E-3</v>
      </c>
      <c r="V506" s="335">
        <f t="shared" si="39"/>
        <v>-1.0502439036966238E-4</v>
      </c>
    </row>
    <row r="507" spans="1:22" x14ac:dyDescent="0.45">
      <c r="A507" s="293" t="s">
        <v>164</v>
      </c>
      <c r="B507" s="297" t="s">
        <v>6</v>
      </c>
      <c r="C507" s="293" t="str">
        <f t="shared" si="35"/>
        <v>MoroccoManufacture of machinery and equipment n.e.c. (C28)</v>
      </c>
      <c r="D507" s="297" t="s">
        <v>958</v>
      </c>
      <c r="E507" s="298">
        <v>160.55456382</v>
      </c>
      <c r="F507" s="298">
        <v>176.46124864000001</v>
      </c>
      <c r="G507" s="302">
        <v>9.9073389391990174E-2</v>
      </c>
      <c r="H507" s="303">
        <v>18228.520073360003</v>
      </c>
      <c r="I507" s="298">
        <v>152.03038734</v>
      </c>
      <c r="J507" s="298">
        <v>176.46124864000001</v>
      </c>
      <c r="K507" s="302">
        <v>0.16069722459736258</v>
      </c>
      <c r="L507" s="298">
        <v>185.07036427</v>
      </c>
      <c r="M507" s="298">
        <v>201.02170577999999</v>
      </c>
      <c r="N507" s="298">
        <v>213.54614107</v>
      </c>
      <c r="O507" s="306">
        <v>250.98138906</v>
      </c>
      <c r="P507" s="306" cm="1">
        <f t="array" ref="P507">INDEX($E$302:$E$676, MATCH($B507, $B$302:$B$676, 0) * MATCH("Brazil", $A$302:$A$676, 0))</f>
        <v>193518.90176102001</v>
      </c>
      <c r="Q507" s="306">
        <f t="shared" si="36"/>
        <v>193358.3471972</v>
      </c>
      <c r="R507" s="336">
        <f>INDEX('Base GDP'!$A$1:$E$76,MATCH(A507,'Base GDP'!$A$1:$A$76,0),4)</f>
        <v>115608.87885166</v>
      </c>
      <c r="S507" s="336">
        <f>INDEX('Base GDP'!$A$1:$E$76,MATCH(A507,'Base GDP'!$A$1:$A$76,0),5)</f>
        <v>129710.11086108</v>
      </c>
      <c r="T507" s="335">
        <f t="shared" si="37"/>
        <v>1.3150407550883106E-3</v>
      </c>
      <c r="U507" s="335">
        <f t="shared" si="38"/>
        <v>1.3604278607778745E-3</v>
      </c>
      <c r="V507" s="335">
        <f t="shared" si="39"/>
        <v>4.5387105689563903E-5</v>
      </c>
    </row>
    <row r="508" spans="1:22" x14ac:dyDescent="0.45">
      <c r="A508" s="293" t="s">
        <v>152</v>
      </c>
      <c r="B508" s="297" t="s">
        <v>6</v>
      </c>
      <c r="C508" s="293" t="str">
        <f t="shared" si="35"/>
        <v>ColombiaManufacture of machinery and equipment n.e.c. (C28)</v>
      </c>
      <c r="D508" s="297" t="s">
        <v>958</v>
      </c>
      <c r="E508" s="298">
        <v>189.01924438</v>
      </c>
      <c r="F508" s="298">
        <v>168.79287485</v>
      </c>
      <c r="G508" s="302">
        <v>-0.1070069325287184</v>
      </c>
      <c r="H508" s="303">
        <v>18200.055392800001</v>
      </c>
      <c r="I508" s="298">
        <v>190.02590798</v>
      </c>
      <c r="J508" s="298">
        <v>168.79287485</v>
      </c>
      <c r="K508" s="302">
        <v>-0.11173756965936843</v>
      </c>
      <c r="L508" s="298">
        <v>214.051354</v>
      </c>
      <c r="M508" s="298">
        <v>240.91315824</v>
      </c>
      <c r="N508" s="298">
        <v>262.83218360000001</v>
      </c>
      <c r="O508" s="306">
        <v>320.90854308000002</v>
      </c>
      <c r="P508" s="306" cm="1">
        <f t="array" ref="P508">INDEX($E$302:$E$676, MATCH($B508, $B$302:$B$676, 0) * MATCH("Brazil", $A$302:$A$676, 0))</f>
        <v>193518.90176102001</v>
      </c>
      <c r="Q508" s="306">
        <f t="shared" si="36"/>
        <v>193329.88251664001</v>
      </c>
      <c r="R508" s="336">
        <f>INDEX('Base GDP'!$A$1:$E$76,MATCH(A508,'Base GDP'!$A$1:$A$76,0),4)</f>
        <v>295018.32730579999</v>
      </c>
      <c r="S508" s="336">
        <f>INDEX('Base GDP'!$A$1:$E$76,MATCH(A508,'Base GDP'!$A$1:$A$76,0),5)</f>
        <v>332655.81031924998</v>
      </c>
      <c r="T508" s="335">
        <f t="shared" si="37"/>
        <v>6.441156036486827E-4</v>
      </c>
      <c r="U508" s="335">
        <f t="shared" si="38"/>
        <v>5.0740997034745723E-4</v>
      </c>
      <c r="V508" s="335">
        <f t="shared" si="39"/>
        <v>-1.3670563330122547E-4</v>
      </c>
    </row>
    <row r="509" spans="1:22" x14ac:dyDescent="0.45">
      <c r="A509" s="293" t="s">
        <v>166</v>
      </c>
      <c r="B509" s="297" t="s">
        <v>6</v>
      </c>
      <c r="C509" s="293" t="str">
        <f t="shared" si="35"/>
        <v>HondurasManufacture of machinery and equipment n.e.c. (C28)</v>
      </c>
      <c r="D509" s="297" t="s">
        <v>958</v>
      </c>
      <c r="E509" s="298">
        <v>85.321122459999998</v>
      </c>
      <c r="F509" s="298">
        <v>127.23210978</v>
      </c>
      <c r="G509" s="302">
        <v>0.49121467359561044</v>
      </c>
      <c r="H509" s="303">
        <v>18303.75351472</v>
      </c>
      <c r="I509" s="298">
        <v>109.16677952000001</v>
      </c>
      <c r="J509" s="298">
        <v>127.23210978</v>
      </c>
      <c r="K509" s="302">
        <v>0.16548377024065575</v>
      </c>
      <c r="L509" s="298">
        <v>151.43220922</v>
      </c>
      <c r="M509" s="298">
        <v>176.50280108999999</v>
      </c>
      <c r="N509" s="298">
        <v>197.54715512000001</v>
      </c>
      <c r="O509" s="306">
        <v>254.90460776</v>
      </c>
      <c r="P509" s="306" cm="1">
        <f t="array" ref="P509">INDEX($E$302:$E$676, MATCH($B509, $B$302:$B$676, 0) * MATCH("Brazil", $A$302:$A$676, 0))</f>
        <v>193518.90176102001</v>
      </c>
      <c r="Q509" s="306">
        <f t="shared" si="36"/>
        <v>193433.58063856</v>
      </c>
      <c r="R509" s="336">
        <f>INDEX('Base GDP'!$A$1:$E$76,MATCH(A509,'Base GDP'!$A$1:$A$76,0),4)</f>
        <v>21608.112082880001</v>
      </c>
      <c r="S509" s="336">
        <f>INDEX('Base GDP'!$A$1:$E$76,MATCH(A509,'Base GDP'!$A$1:$A$76,0),5)</f>
        <v>25703.55773198</v>
      </c>
      <c r="T509" s="335">
        <f t="shared" si="37"/>
        <v>5.0521201991770622E-3</v>
      </c>
      <c r="U509" s="335">
        <f t="shared" si="38"/>
        <v>4.9499805087954664E-3</v>
      </c>
      <c r="V509" s="335">
        <f t="shared" si="39"/>
        <v>-1.0213969038159586E-4</v>
      </c>
    </row>
    <row r="510" spans="1:22" x14ac:dyDescent="0.45">
      <c r="A510" s="293" t="s">
        <v>124</v>
      </c>
      <c r="B510" s="297" t="s">
        <v>6</v>
      </c>
      <c r="C510" s="293" t="str">
        <f t="shared" si="35"/>
        <v>BangladeshManufacture of machinery and equipment n.e.c. (C28)</v>
      </c>
      <c r="D510" s="297" t="s">
        <v>958</v>
      </c>
      <c r="E510" s="298">
        <v>27.093611079999999</v>
      </c>
      <c r="F510" s="298">
        <v>112.98343589</v>
      </c>
      <c r="G510" s="302">
        <v>3.1701135945441496</v>
      </c>
      <c r="H510" s="303">
        <v>18361.981026100002</v>
      </c>
      <c r="I510" s="298">
        <v>44.434672370000001</v>
      </c>
      <c r="J510" s="298">
        <v>112.98343589</v>
      </c>
      <c r="K510" s="302">
        <v>1.5426863722366631</v>
      </c>
      <c r="L510" s="298">
        <v>136.37818966</v>
      </c>
      <c r="M510" s="298">
        <v>174.34997615</v>
      </c>
      <c r="N510" s="298">
        <v>205.55856452</v>
      </c>
      <c r="O510" s="306">
        <v>292.01559343000002</v>
      </c>
      <c r="P510" s="306" cm="1">
        <f t="array" ref="P510">INDEX($E$302:$E$676, MATCH($B510, $B$302:$B$676, 0) * MATCH("Brazil", $A$302:$A$676, 0))</f>
        <v>193518.90176102001</v>
      </c>
      <c r="Q510" s="306">
        <f t="shared" si="36"/>
        <v>193491.80814994001</v>
      </c>
      <c r="R510" s="336">
        <f>INDEX('Base GDP'!$A$1:$E$76,MATCH(A510,'Base GDP'!$A$1:$A$76,0),4)</f>
        <v>264392.25455249997</v>
      </c>
      <c r="S510" s="336">
        <f>INDEX('Base GDP'!$A$1:$E$76,MATCH(A510,'Base GDP'!$A$1:$A$76,0),5)</f>
        <v>386628.84638325998</v>
      </c>
      <c r="T510" s="335">
        <f t="shared" si="37"/>
        <v>1.6806344212014982E-4</v>
      </c>
      <c r="U510" s="335">
        <f t="shared" si="38"/>
        <v>2.9222712414479551E-4</v>
      </c>
      <c r="V510" s="335">
        <f t="shared" si="39"/>
        <v>1.2416368202464569E-4</v>
      </c>
    </row>
    <row r="511" spans="1:22" x14ac:dyDescent="0.45">
      <c r="A511" s="293" t="s">
        <v>148</v>
      </c>
      <c r="B511" s="297" t="s">
        <v>6</v>
      </c>
      <c r="C511" s="293" t="str">
        <f t="shared" si="35"/>
        <v>BahrainManufacture of machinery and equipment n.e.c. (C28)</v>
      </c>
      <c r="D511" s="297" t="s">
        <v>958</v>
      </c>
      <c r="E511" s="298">
        <v>72.960590890000006</v>
      </c>
      <c r="F511" s="298">
        <v>75.975526239999994</v>
      </c>
      <c r="G511" s="302">
        <v>4.1322792390010799E-2</v>
      </c>
      <c r="H511" s="303">
        <v>18316.11404629</v>
      </c>
      <c r="I511" s="298">
        <v>77.863514620000004</v>
      </c>
      <c r="J511" s="298">
        <v>75.975526239999994</v>
      </c>
      <c r="K511" s="302">
        <v>-2.4247407649321095E-2</v>
      </c>
      <c r="L511" s="298">
        <v>81.38705435</v>
      </c>
      <c r="M511" s="298">
        <v>85.421528629999997</v>
      </c>
      <c r="N511" s="298">
        <v>88.910285209999998</v>
      </c>
      <c r="O511" s="306">
        <v>96.102860179999993</v>
      </c>
      <c r="P511" s="306" cm="1">
        <f t="array" ref="P511">INDEX($E$302:$E$676, MATCH($B511, $B$302:$B$676, 0) * MATCH("Brazil", $A$302:$A$676, 0))</f>
        <v>193518.90176102001</v>
      </c>
      <c r="Q511" s="306">
        <f t="shared" si="36"/>
        <v>193445.94117013001</v>
      </c>
      <c r="R511" s="336">
        <f>INDEX('Base GDP'!$A$1:$E$76,MATCH(A511,'Base GDP'!$A$1:$A$76,0),4)</f>
        <v>33332.328188890002</v>
      </c>
      <c r="S511" s="336">
        <f>INDEX('Base GDP'!$A$1:$E$76,MATCH(A511,'Base GDP'!$A$1:$A$76,0),5)</f>
        <v>36767.801730239997</v>
      </c>
      <c r="T511" s="335">
        <f t="shared" si="37"/>
        <v>2.3359758783952178E-3</v>
      </c>
      <c r="U511" s="335">
        <f t="shared" si="38"/>
        <v>2.066360311596036E-3</v>
      </c>
      <c r="V511" s="335">
        <f t="shared" si="39"/>
        <v>-2.6961556679918177E-4</v>
      </c>
    </row>
    <row r="512" spans="1:22" x14ac:dyDescent="0.45">
      <c r="A512" s="293" t="s">
        <v>169</v>
      </c>
      <c r="B512" s="297" t="s">
        <v>6</v>
      </c>
      <c r="C512" s="293" t="str">
        <f t="shared" si="35"/>
        <v>Costa RicaManufacture of machinery and equipment n.e.c. (C28)</v>
      </c>
      <c r="D512" s="297" t="s">
        <v>958</v>
      </c>
      <c r="E512" s="298">
        <v>53.112213689999997</v>
      </c>
      <c r="F512" s="298">
        <v>72.627947539999994</v>
      </c>
      <c r="G512" s="302">
        <v>0.36744342768138916</v>
      </c>
      <c r="H512" s="303">
        <v>18335.96242349</v>
      </c>
      <c r="I512" s="298">
        <v>62.191558299999997</v>
      </c>
      <c r="J512" s="298">
        <v>72.627947539999994</v>
      </c>
      <c r="K512" s="302">
        <v>0.167810383358733</v>
      </c>
      <c r="L512" s="298">
        <v>92.238250710000003</v>
      </c>
      <c r="M512" s="298">
        <v>103.78196448</v>
      </c>
      <c r="N512" s="298">
        <v>113.34158443</v>
      </c>
      <c r="O512" s="306">
        <v>140.04938908</v>
      </c>
      <c r="P512" s="306" cm="1">
        <f t="array" ref="P512">INDEX($E$302:$E$676, MATCH($B512, $B$302:$B$676, 0) * MATCH("Brazil", $A$302:$A$676, 0))</f>
        <v>193518.90176102001</v>
      </c>
      <c r="Q512" s="306">
        <f t="shared" si="36"/>
        <v>193465.78954733</v>
      </c>
      <c r="R512" s="336">
        <f>INDEX('Base GDP'!$A$1:$E$76,MATCH(A512,'Base GDP'!$A$1:$A$76,0),4)</f>
        <v>56790.776904650003</v>
      </c>
      <c r="S512" s="336">
        <f>INDEX('Base GDP'!$A$1:$E$76,MATCH(A512,'Base GDP'!$A$1:$A$76,0),5)</f>
        <v>66933.267445050005</v>
      </c>
      <c r="T512" s="335">
        <f t="shared" si="37"/>
        <v>1.0950996216237321E-3</v>
      </c>
      <c r="U512" s="335">
        <f t="shared" si="38"/>
        <v>1.08507996564825E-3</v>
      </c>
      <c r="V512" s="335">
        <f t="shared" si="39"/>
        <v>-1.001965597548205E-5</v>
      </c>
    </row>
    <row r="513" spans="1:22" x14ac:dyDescent="0.45">
      <c r="A513" s="293" t="s">
        <v>176</v>
      </c>
      <c r="B513" s="297" t="s">
        <v>6</v>
      </c>
      <c r="C513" s="293" t="str">
        <f t="shared" si="35"/>
        <v>JordanManufacture of machinery and equipment n.e.c. (C28)</v>
      </c>
      <c r="D513" s="297" t="s">
        <v>958</v>
      </c>
      <c r="E513" s="298">
        <v>138.87570869000001</v>
      </c>
      <c r="F513" s="298">
        <v>59.294910309999999</v>
      </c>
      <c r="G513" s="302">
        <v>-0.57303612799298986</v>
      </c>
      <c r="H513" s="303">
        <v>18250.198928490001</v>
      </c>
      <c r="I513" s="298">
        <v>97.214182469999997</v>
      </c>
      <c r="J513" s="298">
        <v>59.294910309999999</v>
      </c>
      <c r="K513" s="302">
        <v>-0.39005905513531192</v>
      </c>
      <c r="L513" s="298">
        <v>55.144584219999999</v>
      </c>
      <c r="M513" s="298">
        <v>58.714411499999997</v>
      </c>
      <c r="N513" s="298">
        <v>61.564846549999999</v>
      </c>
      <c r="O513" s="306">
        <v>68.333146260000007</v>
      </c>
      <c r="P513" s="306" cm="1">
        <f t="array" ref="P513">INDEX($E$302:$E$676, MATCH($B513, $B$302:$B$676, 0) * MATCH("Brazil", $A$302:$A$676, 0))</f>
        <v>193518.90176102001</v>
      </c>
      <c r="Q513" s="306">
        <f t="shared" si="36"/>
        <v>193380.02605233001</v>
      </c>
      <c r="R513" s="336">
        <f>INDEX('Base GDP'!$A$1:$E$76,MATCH(A513,'Base GDP'!$A$1:$A$76,0),4)</f>
        <v>41181.394892199998</v>
      </c>
      <c r="S513" s="336">
        <f>INDEX('Base GDP'!$A$1:$E$76,MATCH(A513,'Base GDP'!$A$1:$A$76,0),5)</f>
        <v>44841.419332370002</v>
      </c>
      <c r="T513" s="335">
        <f t="shared" si="37"/>
        <v>2.3606335512547909E-3</v>
      </c>
      <c r="U513" s="335">
        <f t="shared" si="38"/>
        <v>1.3223245649407077E-3</v>
      </c>
      <c r="V513" s="335">
        <f t="shared" si="39"/>
        <v>-1.0383089863140833E-3</v>
      </c>
    </row>
    <row r="514" spans="1:22" x14ac:dyDescent="0.45">
      <c r="A514" s="293" t="s">
        <v>165</v>
      </c>
      <c r="B514" s="297" t="s">
        <v>6</v>
      </c>
      <c r="C514" s="293" t="str">
        <f t="shared" ref="C514:C577" si="40">A514&amp;B514</f>
        <v>EcuadorManufacture of machinery and equipment n.e.c. (C28)</v>
      </c>
      <c r="D514" s="297" t="s">
        <v>958</v>
      </c>
      <c r="E514" s="298">
        <v>35.878475819999998</v>
      </c>
      <c r="F514" s="298">
        <v>52.445376490000001</v>
      </c>
      <c r="G514" s="302">
        <v>0.46175040303035941</v>
      </c>
      <c r="H514" s="303">
        <v>18353.19616136</v>
      </c>
      <c r="I514" s="298">
        <v>37.229871189999997</v>
      </c>
      <c r="J514" s="298">
        <v>52.445376490000001</v>
      </c>
      <c r="K514" s="302">
        <v>0.40869078548106597</v>
      </c>
      <c r="L514" s="298">
        <v>63.176050500000002</v>
      </c>
      <c r="M514" s="298">
        <v>72.612338289999997</v>
      </c>
      <c r="N514" s="298">
        <v>80.660839609999996</v>
      </c>
      <c r="O514" s="306">
        <v>102.68532872</v>
      </c>
      <c r="P514" s="306" cm="1">
        <f t="array" ref="P514">INDEX($E$302:$E$676, MATCH($B514, $B$302:$B$676, 0) * MATCH("Brazil", $A$302:$A$676, 0))</f>
        <v>193518.90176102001</v>
      </c>
      <c r="Q514" s="306">
        <f t="shared" si="36"/>
        <v>193483.0232852</v>
      </c>
      <c r="R514" s="336">
        <f>INDEX('Base GDP'!$A$1:$E$76,MATCH(A514,'Base GDP'!$A$1:$A$76,0),4)</f>
        <v>105544.34131757999</v>
      </c>
      <c r="S514" s="336">
        <f>INDEX('Base GDP'!$A$1:$E$76,MATCH(A514,'Base GDP'!$A$1:$A$76,0),5)</f>
        <v>103911.06087433999</v>
      </c>
      <c r="T514" s="335">
        <f t="shared" si="37"/>
        <v>3.5274151816416522E-4</v>
      </c>
      <c r="U514" s="335">
        <f t="shared" si="38"/>
        <v>5.0471408961383216E-4</v>
      </c>
      <c r="V514" s="335">
        <f t="shared" si="39"/>
        <v>1.5197257144966694E-4</v>
      </c>
    </row>
    <row r="515" spans="1:22" x14ac:dyDescent="0.45">
      <c r="A515" s="293" t="s">
        <v>102</v>
      </c>
      <c r="B515" s="297" t="s">
        <v>6</v>
      </c>
      <c r="C515" s="293" t="str">
        <f t="shared" si="40"/>
        <v>NigeriaManufacture of machinery and equipment n.e.c. (C28)</v>
      </c>
      <c r="D515" s="297" t="s">
        <v>958</v>
      </c>
      <c r="E515" s="298">
        <v>18.019784219999998</v>
      </c>
      <c r="F515" s="298">
        <v>31.119576930000001</v>
      </c>
      <c r="G515" s="302">
        <v>0.72696723501609184</v>
      </c>
      <c r="H515" s="303">
        <v>18371.054852960002</v>
      </c>
      <c r="I515" s="298">
        <v>29.919195779999999</v>
      </c>
      <c r="J515" s="298">
        <v>31.119576930000001</v>
      </c>
      <c r="K515" s="302">
        <v>4.01207692488319E-2</v>
      </c>
      <c r="L515" s="298">
        <v>35.859737459999998</v>
      </c>
      <c r="M515" s="298">
        <v>40.707486449999998</v>
      </c>
      <c r="N515" s="298">
        <v>44.97287592</v>
      </c>
      <c r="O515" s="306">
        <v>55.238085900000002</v>
      </c>
      <c r="P515" s="306" cm="1">
        <f t="array" ref="P515">INDEX($E$302:$E$676, MATCH($B515, $B$302:$B$676, 0) * MATCH("Brazil", $A$302:$A$676, 0))</f>
        <v>193518.90176102001</v>
      </c>
      <c r="Q515" s="306">
        <f t="shared" ref="Q515:Q578" si="41">P515-E515</f>
        <v>193500.88197680001</v>
      </c>
      <c r="R515" s="336">
        <f>INDEX('Base GDP'!$A$1:$E$76,MATCH(A515,'Base GDP'!$A$1:$A$76,0),4)</f>
        <v>460034.71302222001</v>
      </c>
      <c r="S515" s="336">
        <f>INDEX('Base GDP'!$A$1:$E$76,MATCH(A515,'Base GDP'!$A$1:$A$76,0),5)</f>
        <v>483780.49839321</v>
      </c>
      <c r="T515" s="335">
        <f t="shared" ref="T515:T578" si="42">I515/R515</f>
        <v>6.5036822076848102E-5</v>
      </c>
      <c r="U515" s="335">
        <f t="shared" ref="U515:U578" si="43">J515/S515</f>
        <v>6.4325819319625496E-5</v>
      </c>
      <c r="V515" s="335">
        <f t="shared" ref="V515:V578" si="44">U515-T515</f>
        <v>-7.1100275722260555E-7</v>
      </c>
    </row>
    <row r="516" spans="1:22" x14ac:dyDescent="0.45">
      <c r="A516" s="293" t="s">
        <v>167</v>
      </c>
      <c r="B516" s="297" t="s">
        <v>6</v>
      </c>
      <c r="C516" s="293" t="str">
        <f t="shared" si="40"/>
        <v>Hong Kong SARManufacture of machinery and equipment n.e.c. (C28)</v>
      </c>
      <c r="D516" s="297" t="s">
        <v>958</v>
      </c>
      <c r="E516" s="298">
        <v>32.30840456</v>
      </c>
      <c r="F516" s="298">
        <v>27.631291539999999</v>
      </c>
      <c r="G516" s="302">
        <v>-0.14476459248596207</v>
      </c>
      <c r="H516" s="303">
        <v>18356.766232620001</v>
      </c>
      <c r="I516" s="298">
        <v>26.4854722</v>
      </c>
      <c r="J516" s="298">
        <v>27.631291539999999</v>
      </c>
      <c r="K516" s="302">
        <v>4.3262182805258842E-2</v>
      </c>
      <c r="L516" s="298">
        <v>33.474039930000004</v>
      </c>
      <c r="M516" s="298">
        <v>35.423424240000003</v>
      </c>
      <c r="N516" s="298">
        <v>36.638236759999998</v>
      </c>
      <c r="O516" s="306">
        <v>39.342912640000002</v>
      </c>
      <c r="P516" s="306" cm="1">
        <f t="array" ref="P516">INDEX($E$302:$E$676, MATCH($B516, $B$302:$B$676, 0) * MATCH("Brazil", $A$302:$A$676, 0))</f>
        <v>193518.90176102001</v>
      </c>
      <c r="Q516" s="306">
        <f t="shared" si="41"/>
        <v>193486.59335646001</v>
      </c>
      <c r="R516" s="336">
        <f>INDEX('Base GDP'!$A$1:$E$76,MATCH(A516,'Base GDP'!$A$1:$A$76,0),4)</f>
        <v>338559.97086627001</v>
      </c>
      <c r="S516" s="336">
        <f>INDEX('Base GDP'!$A$1:$E$76,MATCH(A516,'Base GDP'!$A$1:$A$76,0),5)</f>
        <v>361197.76240428002</v>
      </c>
      <c r="T516" s="335">
        <f t="shared" si="42"/>
        <v>7.8229780479457999E-5</v>
      </c>
      <c r="U516" s="335">
        <f t="shared" si="43"/>
        <v>7.6499066207040773E-5</v>
      </c>
      <c r="V516" s="335">
        <f t="shared" si="44"/>
        <v>-1.7307142724172259E-6</v>
      </c>
    </row>
    <row r="517" spans="1:22" x14ac:dyDescent="0.45">
      <c r="A517" s="293" t="s">
        <v>172</v>
      </c>
      <c r="B517" s="297" t="s">
        <v>6</v>
      </c>
      <c r="C517" s="293" t="str">
        <f t="shared" si="40"/>
        <v>UruguayManufacture of machinery and equipment n.e.c. (C28)</v>
      </c>
      <c r="D517" s="297" t="s">
        <v>958</v>
      </c>
      <c r="E517" s="298">
        <v>14.313176179999999</v>
      </c>
      <c r="F517" s="298">
        <v>19.562316070000001</v>
      </c>
      <c r="G517" s="302">
        <v>0.36673480602682007</v>
      </c>
      <c r="H517" s="303">
        <v>18374.761461000002</v>
      </c>
      <c r="I517" s="298">
        <v>12.59552422</v>
      </c>
      <c r="J517" s="298">
        <v>19.562316070000001</v>
      </c>
      <c r="K517" s="302">
        <v>0.55311646647764556</v>
      </c>
      <c r="L517" s="298">
        <v>20.870441759999999</v>
      </c>
      <c r="M517" s="298">
        <v>23.787540249999999</v>
      </c>
      <c r="N517" s="298">
        <v>25.830318770000002</v>
      </c>
      <c r="O517" s="306">
        <v>30.180703739999998</v>
      </c>
      <c r="P517" s="306" cm="1">
        <f t="array" ref="P517">INDEX($E$302:$E$676, MATCH($B517, $B$302:$B$676, 0) * MATCH("Brazil", $A$302:$A$676, 0))</f>
        <v>193518.90176102001</v>
      </c>
      <c r="Q517" s="306">
        <f t="shared" si="41"/>
        <v>193504.58858484001</v>
      </c>
      <c r="R517" s="336">
        <f>INDEX('Base GDP'!$A$1:$E$76,MATCH(A517,'Base GDP'!$A$1:$A$76,0),4)</f>
        <v>59449.563607900003</v>
      </c>
      <c r="S517" s="336">
        <f>INDEX('Base GDP'!$A$1:$E$76,MATCH(A517,'Base GDP'!$A$1:$A$76,0),5)</f>
        <v>61243.536031950003</v>
      </c>
      <c r="T517" s="335">
        <f t="shared" si="42"/>
        <v>2.1186907784679235E-4</v>
      </c>
      <c r="U517" s="335">
        <f t="shared" si="43"/>
        <v>3.1941846172622331E-4</v>
      </c>
      <c r="V517" s="335">
        <f t="shared" si="44"/>
        <v>1.0754938387943095E-4</v>
      </c>
    </row>
    <row r="518" spans="1:22" x14ac:dyDescent="0.45">
      <c r="A518" s="293" t="s">
        <v>155</v>
      </c>
      <c r="B518" s="297" t="s">
        <v>6</v>
      </c>
      <c r="C518" s="293" t="str">
        <f t="shared" si="40"/>
        <v>QatarManufacture of machinery and equipment n.e.c. (C28)</v>
      </c>
      <c r="D518" s="297" t="s">
        <v>958</v>
      </c>
      <c r="E518" s="298">
        <v>13.096036270000001</v>
      </c>
      <c r="F518" s="298">
        <v>18.975933879999999</v>
      </c>
      <c r="G518" s="302">
        <v>0.44898299674608322</v>
      </c>
      <c r="H518" s="303">
        <v>18375.978600910003</v>
      </c>
      <c r="I518" s="298">
        <v>17.428218170000001</v>
      </c>
      <c r="J518" s="298">
        <v>18.975933879999999</v>
      </c>
      <c r="K518" s="302">
        <v>8.8805160395808658E-2</v>
      </c>
      <c r="L518" s="298">
        <v>23.18598184</v>
      </c>
      <c r="M518" s="298">
        <v>26.45385993</v>
      </c>
      <c r="N518" s="298">
        <v>27.988695419999999</v>
      </c>
      <c r="O518" s="306">
        <v>31.001925320000002</v>
      </c>
      <c r="P518" s="306" cm="1">
        <f t="array" ref="P518">INDEX($E$302:$E$676, MATCH($B518, $B$302:$B$676, 0) * MATCH("Brazil", $A$302:$A$676, 0))</f>
        <v>193518.90176102001</v>
      </c>
      <c r="Q518" s="306">
        <f t="shared" si="41"/>
        <v>193505.80572475001</v>
      </c>
      <c r="R518" s="336">
        <f>INDEX('Base GDP'!$A$1:$E$76,MATCH(A518,'Base GDP'!$A$1:$A$76,0),4)</f>
        <v>170576.82347613</v>
      </c>
      <c r="S518" s="336">
        <f>INDEX('Base GDP'!$A$1:$E$76,MATCH(A518,'Base GDP'!$A$1:$A$76,0),5)</f>
        <v>172715.39534024999</v>
      </c>
      <c r="T518" s="335">
        <f t="shared" si="42"/>
        <v>1.0217225186186476E-4</v>
      </c>
      <c r="U518" s="335">
        <f t="shared" si="43"/>
        <v>1.0986822479036879E-4</v>
      </c>
      <c r="V518" s="335">
        <f t="shared" si="44"/>
        <v>7.6959729285040241E-6</v>
      </c>
    </row>
    <row r="519" spans="1:22" x14ac:dyDescent="0.45">
      <c r="A519" s="293" t="s">
        <v>158</v>
      </c>
      <c r="B519" s="297" t="s">
        <v>6</v>
      </c>
      <c r="C519" s="293" t="str">
        <f t="shared" si="40"/>
        <v>GhanaManufacture of machinery and equipment n.e.c. (C28)</v>
      </c>
      <c r="D519" s="297" t="s">
        <v>958</v>
      </c>
      <c r="E519" s="298">
        <v>13.101358080000001</v>
      </c>
      <c r="F519" s="298">
        <v>18.054075189999999</v>
      </c>
      <c r="G519" s="302">
        <v>0.37803081785548742</v>
      </c>
      <c r="H519" s="303">
        <v>18375.973279100002</v>
      </c>
      <c r="I519" s="298">
        <v>14.544592529999999</v>
      </c>
      <c r="J519" s="298">
        <v>18.054075189999999</v>
      </c>
      <c r="K519" s="302">
        <v>0.24129123265304697</v>
      </c>
      <c r="L519" s="298">
        <v>21.139142100000001</v>
      </c>
      <c r="M519" s="298">
        <v>25.17395441</v>
      </c>
      <c r="N519" s="298">
        <v>28.727920520000001</v>
      </c>
      <c r="O519" s="306">
        <v>39.306058329999999</v>
      </c>
      <c r="P519" s="306" cm="1">
        <f t="array" ref="P519">INDEX($E$302:$E$676, MATCH($B519, $B$302:$B$676, 0) * MATCH("Brazil", $A$302:$A$676, 0))</f>
        <v>193518.90176102001</v>
      </c>
      <c r="Q519" s="306">
        <f t="shared" si="41"/>
        <v>193505.80040294002</v>
      </c>
      <c r="R519" s="336">
        <f>INDEX('Base GDP'!$A$1:$E$76,MATCH(A519,'Base GDP'!$A$1:$A$76,0),4)</f>
        <v>54050.698328470004</v>
      </c>
      <c r="S519" s="336">
        <f>INDEX('Base GDP'!$A$1:$E$76,MATCH(A519,'Base GDP'!$A$1:$A$76,0),5)</f>
        <v>72367.878986030002</v>
      </c>
      <c r="T519" s="335">
        <f t="shared" si="42"/>
        <v>2.690916672641574E-4</v>
      </c>
      <c r="U519" s="335">
        <f t="shared" si="43"/>
        <v>2.4947636220601658E-4</v>
      </c>
      <c r="V519" s="335">
        <f t="shared" si="44"/>
        <v>-1.9615305058140811E-5</v>
      </c>
    </row>
    <row r="520" spans="1:22" x14ac:dyDescent="0.45">
      <c r="A520" s="293" t="s">
        <v>174</v>
      </c>
      <c r="B520" s="297" t="s">
        <v>6</v>
      </c>
      <c r="C520" s="293" t="str">
        <f t="shared" si="40"/>
        <v>Sri LankaManufacture of machinery and equipment n.e.c. (C28)</v>
      </c>
      <c r="D520" s="297" t="s">
        <v>958</v>
      </c>
      <c r="E520" s="298">
        <v>11.34242587</v>
      </c>
      <c r="F520" s="298">
        <v>17.165683170000001</v>
      </c>
      <c r="G520" s="302">
        <v>0.51340492472621313</v>
      </c>
      <c r="H520" s="303">
        <v>18377.732211310002</v>
      </c>
      <c r="I520" s="298">
        <v>11.946279710000001</v>
      </c>
      <c r="J520" s="298">
        <v>17.165683170000001</v>
      </c>
      <c r="K520" s="302">
        <v>0.43690618223436872</v>
      </c>
      <c r="L520" s="298">
        <v>15.152611289999999</v>
      </c>
      <c r="M520" s="298">
        <v>17.22641295</v>
      </c>
      <c r="N520" s="298">
        <v>18.998939750000002</v>
      </c>
      <c r="O520" s="306">
        <v>23.512166069999999</v>
      </c>
      <c r="P520" s="306" cm="1">
        <f t="array" ref="P520">INDEX($E$302:$E$676, MATCH($B520, $B$302:$B$676, 0) * MATCH("Brazil", $A$302:$A$676, 0))</f>
        <v>193518.90176102001</v>
      </c>
      <c r="Q520" s="306">
        <f t="shared" si="41"/>
        <v>193507.55933515</v>
      </c>
      <c r="R520" s="336">
        <f>INDEX('Base GDP'!$A$1:$E$76,MATCH(A520,'Base GDP'!$A$1:$A$76,0),4)</f>
        <v>77969.257644440004</v>
      </c>
      <c r="S520" s="336">
        <f>INDEX('Base GDP'!$A$1:$E$76,MATCH(A520,'Base GDP'!$A$1:$A$76,0),5)</f>
        <v>87884.425158479993</v>
      </c>
      <c r="T520" s="335">
        <f t="shared" si="42"/>
        <v>1.5321782034244996E-4</v>
      </c>
      <c r="U520" s="335">
        <f t="shared" si="43"/>
        <v>1.9532110654470929E-4</v>
      </c>
      <c r="V520" s="335">
        <f t="shared" si="44"/>
        <v>4.2103286202259334E-5</v>
      </c>
    </row>
    <row r="521" spans="1:22" x14ac:dyDescent="0.45">
      <c r="A521" s="293" t="s">
        <v>175</v>
      </c>
      <c r="B521" s="297" t="s">
        <v>6</v>
      </c>
      <c r="C521" s="293" t="str">
        <f t="shared" si="40"/>
        <v>KenyaManufacture of machinery and equipment n.e.c. (C28)</v>
      </c>
      <c r="D521" s="297" t="s">
        <v>958</v>
      </c>
      <c r="E521" s="298">
        <v>16.636916320000001</v>
      </c>
      <c r="F521" s="298">
        <v>15.816785640000001</v>
      </c>
      <c r="G521" s="302">
        <v>-4.9295834890633161E-2</v>
      </c>
      <c r="H521" s="303">
        <v>18372.437720860002</v>
      </c>
      <c r="I521" s="298">
        <v>60.128290409999998</v>
      </c>
      <c r="J521" s="298">
        <v>15.816785640000001</v>
      </c>
      <c r="K521" s="302">
        <v>-0.7369493539206049</v>
      </c>
      <c r="L521" s="298">
        <v>21.769203480000002</v>
      </c>
      <c r="M521" s="298">
        <v>29.82936707</v>
      </c>
      <c r="N521" s="298">
        <v>37.595330490000002</v>
      </c>
      <c r="O521" s="306">
        <v>62.236215540000003</v>
      </c>
      <c r="P521" s="306" cm="1">
        <f t="array" ref="P521">INDEX($E$302:$E$676, MATCH($B521, $B$302:$B$676, 0) * MATCH("Brazil", $A$302:$A$676, 0))</f>
        <v>193518.90176102001</v>
      </c>
      <c r="Q521" s="306">
        <f t="shared" si="41"/>
        <v>193502.2648447</v>
      </c>
      <c r="R521" s="336">
        <f>INDEX('Base GDP'!$A$1:$E$76,MATCH(A521,'Base GDP'!$A$1:$A$76,0),4)</f>
        <v>83525.195225389994</v>
      </c>
      <c r="S521" s="336">
        <f>INDEX('Base GDP'!$A$1:$E$76,MATCH(A521,'Base GDP'!$A$1:$A$76,0),5)</f>
        <v>107697.99713524</v>
      </c>
      <c r="T521" s="335">
        <f t="shared" si="42"/>
        <v>7.1988206968862252E-4</v>
      </c>
      <c r="U521" s="335">
        <f t="shared" si="43"/>
        <v>1.4686239355164916E-4</v>
      </c>
      <c r="V521" s="335">
        <f t="shared" si="44"/>
        <v>-5.7301967613697337E-4</v>
      </c>
    </row>
    <row r="522" spans="1:22" x14ac:dyDescent="0.45">
      <c r="A522" s="293" t="s">
        <v>171</v>
      </c>
      <c r="B522" s="297" t="s">
        <v>6</v>
      </c>
      <c r="C522" s="293" t="str">
        <f t="shared" si="40"/>
        <v>CameroonManufacture of machinery and equipment n.e.c. (C28)</v>
      </c>
      <c r="D522" s="297" t="s">
        <v>958</v>
      </c>
      <c r="E522" s="298">
        <v>5.6620143900000004</v>
      </c>
      <c r="F522" s="298">
        <v>7.4311342600000003</v>
      </c>
      <c r="G522" s="302">
        <v>0.31245414584684572</v>
      </c>
      <c r="H522" s="303">
        <v>18383.412622790001</v>
      </c>
      <c r="I522" s="298">
        <v>6.5466294200000004</v>
      </c>
      <c r="J522" s="298">
        <v>7.4311342600000003</v>
      </c>
      <c r="K522" s="302">
        <v>0.13510843263830252</v>
      </c>
      <c r="L522" s="298">
        <v>8.7167732900000008</v>
      </c>
      <c r="M522" s="298">
        <v>9.8917165300000001</v>
      </c>
      <c r="N522" s="298">
        <v>10.66631271</v>
      </c>
      <c r="O522" s="306">
        <v>12.673299269999999</v>
      </c>
      <c r="P522" s="306" cm="1">
        <f t="array" ref="P522">INDEX($E$302:$E$676, MATCH($B522, $B$302:$B$676, 0) * MATCH("Brazil", $A$302:$A$676, 0))</f>
        <v>193518.90176102001</v>
      </c>
      <c r="Q522" s="306">
        <f t="shared" si="41"/>
        <v>193513.23974663002</v>
      </c>
      <c r="R522" s="336">
        <f>INDEX('Base GDP'!$A$1:$E$76,MATCH(A522,'Base GDP'!$A$1:$A$76,0),4)</f>
        <v>34069.891642009999</v>
      </c>
      <c r="S522" s="336">
        <f>INDEX('Base GDP'!$A$1:$E$76,MATCH(A522,'Base GDP'!$A$1:$A$76,0),5)</f>
        <v>41316.84413338</v>
      </c>
      <c r="T522" s="335">
        <f t="shared" si="42"/>
        <v>1.9215292754050489E-4</v>
      </c>
      <c r="U522" s="335">
        <f t="shared" si="43"/>
        <v>1.798572571518444E-4</v>
      </c>
      <c r="V522" s="335">
        <f t="shared" si="44"/>
        <v>-1.2295670388660495E-5</v>
      </c>
    </row>
    <row r="523" spans="1:22" x14ac:dyDescent="0.45">
      <c r="A523" s="293" t="s">
        <v>177</v>
      </c>
      <c r="B523" s="297" t="s">
        <v>6</v>
      </c>
      <c r="C523" s="293" t="str">
        <f t="shared" si="40"/>
        <v>BoliviaManufacture of machinery and equipment n.e.c. (C28)</v>
      </c>
      <c r="D523" s="297" t="s">
        <v>958</v>
      </c>
      <c r="E523" s="298">
        <v>3.4320267499999999</v>
      </c>
      <c r="F523" s="298">
        <v>3.8331624999999998</v>
      </c>
      <c r="G523" s="302">
        <v>0.11688013503973993</v>
      </c>
      <c r="H523" s="303">
        <v>18385.642610430001</v>
      </c>
      <c r="I523" s="298">
        <v>3.8182238000000002</v>
      </c>
      <c r="J523" s="298">
        <v>3.8331624999999998</v>
      </c>
      <c r="K523" s="302">
        <v>3.9124736480873334E-3</v>
      </c>
      <c r="L523" s="298">
        <v>4.2355280100000003</v>
      </c>
      <c r="M523" s="298">
        <v>4.72934067</v>
      </c>
      <c r="N523" s="298">
        <v>5.1215428000000003</v>
      </c>
      <c r="O523" s="306">
        <v>6.0809184199999997</v>
      </c>
      <c r="P523" s="306" cm="1">
        <f t="array" ref="P523">INDEX($E$302:$E$676, MATCH($B523, $B$302:$B$676, 0) * MATCH("Brazil", $A$302:$A$676, 0))</f>
        <v>193518.90176102001</v>
      </c>
      <c r="Q523" s="306">
        <f t="shared" si="41"/>
        <v>193515.46973427001</v>
      </c>
      <c r="R523" s="336">
        <f>INDEX('Base GDP'!$A$1:$E$76,MATCH(A523,'Base GDP'!$A$1:$A$76,0),4)</f>
        <v>35334.894672080001</v>
      </c>
      <c r="S523" s="336">
        <f>INDEX('Base GDP'!$A$1:$E$76,MATCH(A523,'Base GDP'!$A$1:$A$76,0),5)</f>
        <v>39600.741188879998</v>
      </c>
      <c r="T523" s="335">
        <f t="shared" si="42"/>
        <v>1.0805816277179917E-4</v>
      </c>
      <c r="U523" s="335">
        <f t="shared" si="43"/>
        <v>9.6795221122688557E-5</v>
      </c>
      <c r="V523" s="335">
        <f t="shared" si="44"/>
        <v>-1.1262941649110617E-5</v>
      </c>
    </row>
    <row r="524" spans="1:22" x14ac:dyDescent="0.45">
      <c r="A524" s="293" t="s">
        <v>173</v>
      </c>
      <c r="B524" s="297" t="s">
        <v>6</v>
      </c>
      <c r="C524" s="293" t="str">
        <f t="shared" si="40"/>
        <v>PanamaManufacture of machinery and equipment n.e.c. (C28)</v>
      </c>
      <c r="D524" s="297" t="s">
        <v>958</v>
      </c>
      <c r="E524" s="298">
        <v>0.47837575999999998</v>
      </c>
      <c r="F524" s="298">
        <v>0.79017221999999998</v>
      </c>
      <c r="G524" s="302">
        <v>0.65178147822540167</v>
      </c>
      <c r="H524" s="303">
        <v>18388.59626142</v>
      </c>
      <c r="I524" s="298">
        <v>0.78736430999999996</v>
      </c>
      <c r="J524" s="298">
        <v>0.79017221999999998</v>
      </c>
      <c r="K524" s="302">
        <v>3.5662144757362402E-3</v>
      </c>
      <c r="L524" s="298">
        <v>0.84999223999999995</v>
      </c>
      <c r="M524" s="298">
        <v>0.92129771999999999</v>
      </c>
      <c r="N524" s="298">
        <v>0.97858975000000004</v>
      </c>
      <c r="O524" s="306">
        <v>1.1179624699999999</v>
      </c>
      <c r="P524" s="306" cm="1">
        <f t="array" ref="P524">INDEX($E$302:$E$676, MATCH($B524, $B$302:$B$676, 0) * MATCH("Brazil", $A$302:$A$676, 0))</f>
        <v>193518.90176102001</v>
      </c>
      <c r="Q524" s="306">
        <f t="shared" si="41"/>
        <v>193518.42338526002</v>
      </c>
      <c r="R524" s="336">
        <f>INDEX('Base GDP'!$A$1:$E$76,MATCH(A524,'Base GDP'!$A$1:$A$76,0),4)</f>
        <v>58921.61186117</v>
      </c>
      <c r="S524" s="336">
        <f>INDEX('Base GDP'!$A$1:$E$76,MATCH(A524,'Base GDP'!$A$1:$A$76,0),5)</f>
        <v>65983.988595749994</v>
      </c>
      <c r="T524" s="335">
        <f t="shared" si="42"/>
        <v>1.3362911928736318E-5</v>
      </c>
      <c r="U524" s="335">
        <f t="shared" si="43"/>
        <v>1.1975211514432377E-5</v>
      </c>
      <c r="V524" s="335">
        <f t="shared" si="44"/>
        <v>-1.3877004143039403E-6</v>
      </c>
    </row>
    <row r="525" spans="1:22" x14ac:dyDescent="0.45">
      <c r="A525" s="293" t="s">
        <v>178</v>
      </c>
      <c r="B525" s="297" t="s">
        <v>6</v>
      </c>
      <c r="C525" s="293" t="str">
        <f t="shared" si="40"/>
        <v>SenegalManufacture of machinery and equipment n.e.c. (C28)</v>
      </c>
      <c r="D525" s="297" t="s">
        <v>958</v>
      </c>
      <c r="E525" s="298">
        <v>0.29146694000000001</v>
      </c>
      <c r="F525" s="298">
        <v>0.35863133000000003</v>
      </c>
      <c r="G525" s="302">
        <v>0.23043570567557348</v>
      </c>
      <c r="H525" s="303">
        <v>18388.78317024</v>
      </c>
      <c r="I525" s="298">
        <v>0.28549558000000003</v>
      </c>
      <c r="J525" s="298">
        <v>0.35863133000000003</v>
      </c>
      <c r="K525" s="302">
        <v>0.25617121638100304</v>
      </c>
      <c r="L525" s="298">
        <v>0.48005028</v>
      </c>
      <c r="M525" s="298">
        <v>0.58996976000000001</v>
      </c>
      <c r="N525" s="298">
        <v>0.68328758000000001</v>
      </c>
      <c r="O525" s="306">
        <v>0.95319211000000004</v>
      </c>
      <c r="P525" s="306" cm="1">
        <f t="array" ref="P525">INDEX($E$302:$E$676, MATCH($B525, $B$302:$B$676, 0) * MATCH("Brazil", $A$302:$A$676, 0))</f>
        <v>193518.90176102001</v>
      </c>
      <c r="Q525" s="306">
        <f t="shared" si="41"/>
        <v>193518.61029408002</v>
      </c>
      <c r="R525" s="336">
        <f>INDEX('Base GDP'!$A$1:$E$76,MATCH(A525,'Base GDP'!$A$1:$A$76,0),4)</f>
        <v>18437.455260710001</v>
      </c>
      <c r="S525" s="336">
        <f>INDEX('Base GDP'!$A$1:$E$76,MATCH(A525,'Base GDP'!$A$1:$A$76,0),5)</f>
        <v>25150.80803964</v>
      </c>
      <c r="T525" s="335">
        <f t="shared" si="42"/>
        <v>1.548454360772811E-5</v>
      </c>
      <c r="U525" s="335">
        <f t="shared" si="43"/>
        <v>1.4259236897469213E-5</v>
      </c>
      <c r="V525" s="335">
        <f t="shared" si="44"/>
        <v>-1.2253067102588964E-6</v>
      </c>
    </row>
    <row r="526" spans="1:22" x14ac:dyDescent="0.45">
      <c r="A526" s="293" t="s">
        <v>179</v>
      </c>
      <c r="B526" s="297" t="s">
        <v>6</v>
      </c>
      <c r="C526" s="293" t="str">
        <f t="shared" si="40"/>
        <v>WorldManufacture of machinery and equipment n.e.c. (C28)</v>
      </c>
      <c r="D526" s="297" t="s">
        <v>958</v>
      </c>
      <c r="E526" s="298">
        <v>868407.05065642996</v>
      </c>
      <c r="F526" s="298">
        <v>1222762.5215087</v>
      </c>
      <c r="G526" s="302">
        <v>0.40805227293400281</v>
      </c>
      <c r="H526" s="303">
        <v>850017.97601925</v>
      </c>
      <c r="I526" s="298">
        <v>998112.69506527996</v>
      </c>
      <c r="J526" s="298">
        <v>1222762.5215087</v>
      </c>
      <c r="K526" s="302">
        <v>0.22507461086718994</v>
      </c>
      <c r="L526" s="298">
        <v>1363063.4438376001</v>
      </c>
      <c r="M526" s="298">
        <v>1535191.1704035001</v>
      </c>
      <c r="N526" s="298">
        <v>1666645.881547</v>
      </c>
      <c r="O526" s="306">
        <v>1988582.8498416001</v>
      </c>
      <c r="P526" s="306" cm="1">
        <f t="array" ref="P526">INDEX($E$302:$E$676, MATCH($B526, $B$302:$B$676, 0) * MATCH("Brazil", $A$302:$A$676, 0))</f>
        <v>193518.90176102001</v>
      </c>
      <c r="Q526" s="306">
        <f t="shared" si="41"/>
        <v>-674888.14889540989</v>
      </c>
      <c r="R526" s="336">
        <f>INDEX('Base GDP'!$A$1:$E$76,MATCH(A526,'Base GDP'!$A$1:$A$76,0),4)</f>
        <v>74892116.540485993</v>
      </c>
      <c r="S526" s="336">
        <f>INDEX('Base GDP'!$A$1:$E$76,MATCH(A526,'Base GDP'!$A$1:$A$76,0),5)</f>
        <v>87029234.955234006</v>
      </c>
      <c r="T526" s="335">
        <f t="shared" si="42"/>
        <v>1.332733992803781E-2</v>
      </c>
      <c r="U526" s="335">
        <f t="shared" si="43"/>
        <v>1.4050020342447719E-2</v>
      </c>
      <c r="V526" s="335">
        <f t="shared" si="44"/>
        <v>7.2268041440990902E-4</v>
      </c>
    </row>
    <row r="527" spans="1:22" x14ac:dyDescent="0.45">
      <c r="A527" s="293" t="s">
        <v>907</v>
      </c>
      <c r="B527" s="297" t="s">
        <v>7</v>
      </c>
      <c r="C527" s="293" t="str">
        <f t="shared" si="40"/>
        <v>ChinaManufacture of motor vehicles, trailers and semi-trailers (C29)</v>
      </c>
      <c r="D527" s="297" t="s">
        <v>958</v>
      </c>
      <c r="E527" s="298">
        <v>125695.23434510001</v>
      </c>
      <c r="F527" s="298">
        <v>312738.56214605999</v>
      </c>
      <c r="G527" s="302">
        <v>1.4880701625284134</v>
      </c>
      <c r="H527" s="303">
        <v>93797.909213539999</v>
      </c>
      <c r="I527" s="298">
        <v>200452.70680623999</v>
      </c>
      <c r="J527" s="298">
        <v>312738.56214605999</v>
      </c>
      <c r="K527" s="302">
        <v>0.56016133246011424</v>
      </c>
      <c r="L527" s="298">
        <v>387905.94922106998</v>
      </c>
      <c r="M527" s="298">
        <v>408722.45923436002</v>
      </c>
      <c r="N527" s="298">
        <v>416636.02369285002</v>
      </c>
      <c r="O527" s="306">
        <v>419891.77966851997</v>
      </c>
      <c r="P527" s="306" cm="1">
        <f t="array" ref="P527">INDEX($E$302:$E$676, MATCH($B527, $B$302:$B$676, 0) * MATCH("Brazil", $A$302:$A$676, 0))</f>
        <v>125695.23434510001</v>
      </c>
      <c r="Q527" s="306">
        <f t="shared" si="41"/>
        <v>0</v>
      </c>
      <c r="R527" s="336">
        <f>INDEX('Base GDP'!$A$1:$E$76,MATCH(A527,'Base GDP'!$A$1:$A$76,0),4)</f>
        <v>11048064.947659001</v>
      </c>
      <c r="S527" s="336">
        <f>INDEX('Base GDP'!$A$1:$E$76,MATCH(A527,'Base GDP'!$A$1:$A$76,0),5)</f>
        <v>15827750.501527</v>
      </c>
      <c r="T527" s="335">
        <f t="shared" si="42"/>
        <v>1.8143693737853555E-2</v>
      </c>
      <c r="U527" s="335">
        <f t="shared" si="43"/>
        <v>1.9758876166002755E-2</v>
      </c>
      <c r="V527" s="335">
        <f t="shared" si="44"/>
        <v>1.6151824281491999E-3</v>
      </c>
    </row>
    <row r="528" spans="1:22" x14ac:dyDescent="0.45">
      <c r="A528" s="293" t="s">
        <v>141</v>
      </c>
      <c r="B528" s="297" t="s">
        <v>7</v>
      </c>
      <c r="C528" s="293" t="str">
        <f t="shared" si="40"/>
        <v>United StatesManufacture of motor vehicles, trailers and semi-trailers (C29)</v>
      </c>
      <c r="D528" s="297" t="s">
        <v>958</v>
      </c>
      <c r="E528" s="298">
        <v>100245.66066941</v>
      </c>
      <c r="F528" s="298">
        <v>164678.04492787999</v>
      </c>
      <c r="G528" s="302">
        <v>0.64274487123143431</v>
      </c>
      <c r="H528" s="303">
        <v>68348.335537850013</v>
      </c>
      <c r="I528" s="298">
        <v>140874.70855372</v>
      </c>
      <c r="J528" s="298">
        <v>164678.04492787999</v>
      </c>
      <c r="K528" s="302">
        <v>0.16896813216889828</v>
      </c>
      <c r="L528" s="298">
        <v>206319.36607178001</v>
      </c>
      <c r="M528" s="298">
        <v>208478.18335219001</v>
      </c>
      <c r="N528" s="298">
        <v>206634.29143397001</v>
      </c>
      <c r="O528" s="306">
        <v>214758.70489025</v>
      </c>
      <c r="P528" s="306" cm="1">
        <f t="array" ref="P528">INDEX($E$302:$E$676, MATCH($B528, $B$302:$B$676, 0) * MATCH("Brazil", $A$302:$A$676, 0))</f>
        <v>125695.23434510001</v>
      </c>
      <c r="Q528" s="306">
        <f t="shared" si="41"/>
        <v>25449.573675690001</v>
      </c>
      <c r="R528" s="336">
        <f>INDEX('Base GDP'!$A$1:$E$76,MATCH(A528,'Base GDP'!$A$1:$A$76,0),4)</f>
        <v>19553083.060252</v>
      </c>
      <c r="S528" s="336">
        <f>INDEX('Base GDP'!$A$1:$E$76,MATCH(A528,'Base GDP'!$A$1:$A$76,0),5)</f>
        <v>22265681.170655001</v>
      </c>
      <c r="T528" s="335">
        <f t="shared" si="42"/>
        <v>7.2047312497788988E-3</v>
      </c>
      <c r="U528" s="335">
        <f t="shared" si="43"/>
        <v>7.3960479208207211E-3</v>
      </c>
      <c r="V528" s="335">
        <f t="shared" si="44"/>
        <v>1.9131667104182234E-4</v>
      </c>
    </row>
    <row r="529" spans="1:22" x14ac:dyDescent="0.45">
      <c r="A529" s="293" t="s">
        <v>98</v>
      </c>
      <c r="B529" s="297" t="s">
        <v>7</v>
      </c>
      <c r="C529" s="293" t="str">
        <f t="shared" si="40"/>
        <v>GermanyManufacture of motor vehicles, trailers and semi-trailers (C29)</v>
      </c>
      <c r="D529" s="297" t="s">
        <v>958</v>
      </c>
      <c r="E529" s="298">
        <v>100015.48342828</v>
      </c>
      <c r="F529" s="298">
        <v>121577.88653037</v>
      </c>
      <c r="G529" s="302">
        <v>0.21559065019719825</v>
      </c>
      <c r="H529" s="303">
        <v>68118.158296720008</v>
      </c>
      <c r="I529" s="298">
        <v>133070.10790244999</v>
      </c>
      <c r="J529" s="298">
        <v>121577.88653037</v>
      </c>
      <c r="K529" s="302">
        <v>-8.6362155657862871E-2</v>
      </c>
      <c r="L529" s="298">
        <v>151251.67004803001</v>
      </c>
      <c r="M529" s="298">
        <v>162607.82250574999</v>
      </c>
      <c r="N529" s="298">
        <v>165111.31616675001</v>
      </c>
      <c r="O529" s="306">
        <v>165588.08473666001</v>
      </c>
      <c r="P529" s="306" cm="1">
        <f t="array" ref="P529">INDEX($E$302:$E$676, MATCH($B529, $B$302:$B$676, 0) * MATCH("Brazil", $A$302:$A$676, 0))</f>
        <v>125695.23434510001</v>
      </c>
      <c r="Q529" s="306">
        <f t="shared" si="41"/>
        <v>25679.750916820005</v>
      </c>
      <c r="R529" s="336">
        <f>INDEX('Base GDP'!$A$1:$E$76,MATCH(A529,'Base GDP'!$A$1:$A$76,0),4)</f>
        <v>3626843.1759532001</v>
      </c>
      <c r="S529" s="336">
        <f>INDEX('Base GDP'!$A$1:$E$76,MATCH(A529,'Base GDP'!$A$1:$A$76,0),5)</f>
        <v>3849084.4984781002</v>
      </c>
      <c r="T529" s="335">
        <f t="shared" si="42"/>
        <v>3.6690339627788497E-2</v>
      </c>
      <c r="U529" s="335">
        <f t="shared" si="43"/>
        <v>3.1586182786696684E-2</v>
      </c>
      <c r="V529" s="335">
        <f t="shared" si="44"/>
        <v>-5.1041568410918128E-3</v>
      </c>
    </row>
    <row r="530" spans="1:22" x14ac:dyDescent="0.45">
      <c r="A530" s="293" t="s">
        <v>100</v>
      </c>
      <c r="B530" s="297" t="s">
        <v>7</v>
      </c>
      <c r="C530" s="293" t="str">
        <f t="shared" si="40"/>
        <v>JapanManufacture of motor vehicles, trailers and semi-trailers (C29)</v>
      </c>
      <c r="D530" s="297" t="s">
        <v>958</v>
      </c>
      <c r="E530" s="298">
        <v>101675.04052169</v>
      </c>
      <c r="F530" s="298">
        <v>95644.320883459994</v>
      </c>
      <c r="G530" s="302">
        <v>-5.9313668401671182E-2</v>
      </c>
      <c r="H530" s="303">
        <v>69777.715390130004</v>
      </c>
      <c r="I530" s="298">
        <v>101409.67102264</v>
      </c>
      <c r="J530" s="298">
        <v>95644.320883459994</v>
      </c>
      <c r="K530" s="302">
        <v>-5.6852074176366063E-2</v>
      </c>
      <c r="L530" s="298">
        <v>90261.283563999998</v>
      </c>
      <c r="M530" s="298">
        <v>87771.701908639996</v>
      </c>
      <c r="N530" s="298">
        <v>87088.718360190003</v>
      </c>
      <c r="O530" s="306">
        <v>85947.443326890003</v>
      </c>
      <c r="P530" s="306" cm="1">
        <f t="array" ref="P530">INDEX($E$302:$E$676, MATCH($B530, $B$302:$B$676, 0) * MATCH("Brazil", $A$302:$A$676, 0))</f>
        <v>125695.23434510001</v>
      </c>
      <c r="Q530" s="306">
        <f t="shared" si="41"/>
        <v>24020.193823410009</v>
      </c>
      <c r="R530" s="336">
        <f>INDEX('Base GDP'!$A$1:$E$76,MATCH(A530,'Base GDP'!$A$1:$A$76,0),4)</f>
        <v>4983596.864085</v>
      </c>
      <c r="S530" s="336">
        <f>INDEX('Base GDP'!$A$1:$E$76,MATCH(A530,'Base GDP'!$A$1:$A$76,0),5)</f>
        <v>5032370.4042106001</v>
      </c>
      <c r="T530" s="335">
        <f t="shared" si="42"/>
        <v>2.0348690672285959E-2</v>
      </c>
      <c r="U530" s="335">
        <f t="shared" si="43"/>
        <v>1.9005818968221039E-2</v>
      </c>
      <c r="V530" s="335">
        <f t="shared" si="44"/>
        <v>-1.3428717040649199E-3</v>
      </c>
    </row>
    <row r="531" spans="1:22" x14ac:dyDescent="0.45">
      <c r="A531" s="293" t="s">
        <v>75</v>
      </c>
      <c r="B531" s="297" t="s">
        <v>7</v>
      </c>
      <c r="C531" s="293" t="str">
        <f t="shared" si="40"/>
        <v>MexicoManufacture of motor vehicles, trailers and semi-trailers (C29)</v>
      </c>
      <c r="D531" s="297" t="s">
        <v>958</v>
      </c>
      <c r="E531" s="298">
        <v>24730.220593090002</v>
      </c>
      <c r="F531" s="298">
        <v>40658.126428670002</v>
      </c>
      <c r="G531" s="302">
        <v>0.64406646821543112</v>
      </c>
      <c r="H531" s="303">
        <v>7167.1045384699974</v>
      </c>
      <c r="I531" s="298">
        <v>38188.866301169997</v>
      </c>
      <c r="J531" s="298">
        <v>40658.126428670002</v>
      </c>
      <c r="K531" s="302">
        <v>6.4659162909592727E-2</v>
      </c>
      <c r="L531" s="298">
        <v>50213.00335626</v>
      </c>
      <c r="M531" s="298">
        <v>50555.37274608</v>
      </c>
      <c r="N531" s="298">
        <v>50868.703413099996</v>
      </c>
      <c r="O531" s="306">
        <v>50732.159157950002</v>
      </c>
      <c r="P531" s="306" cm="1">
        <f t="array" ref="P531">INDEX($E$302:$E$676, MATCH($B531, $B$302:$B$676, 0) * MATCH("Brazil", $A$302:$A$676, 0))</f>
        <v>125695.23434510001</v>
      </c>
      <c r="Q531" s="306">
        <f t="shared" si="41"/>
        <v>100965.01375201001</v>
      </c>
      <c r="R531" s="336">
        <f>INDEX('Base GDP'!$A$1:$E$76,MATCH(A531,'Base GDP'!$A$1:$A$76,0),4)</f>
        <v>1239119.2771185001</v>
      </c>
      <c r="S531" s="336">
        <f>INDEX('Base GDP'!$A$1:$E$76,MATCH(A531,'Base GDP'!$A$1:$A$76,0),5)</f>
        <v>1262038.2891611001</v>
      </c>
      <c r="T531" s="335">
        <f t="shared" si="42"/>
        <v>3.0819362595968961E-2</v>
      </c>
      <c r="U531" s="335">
        <f t="shared" si="43"/>
        <v>3.2216238427834235E-2</v>
      </c>
      <c r="V531" s="335">
        <f t="shared" si="44"/>
        <v>1.3968758318652734E-3</v>
      </c>
    </row>
    <row r="532" spans="1:22" x14ac:dyDescent="0.45">
      <c r="A532" s="293" t="s">
        <v>104</v>
      </c>
      <c r="B532" s="297" t="s">
        <v>7</v>
      </c>
      <c r="C532" s="293" t="str">
        <f t="shared" si="40"/>
        <v>South KoreaManufacture of motor vehicles, trailers and semi-trailers (C29)</v>
      </c>
      <c r="D532" s="297" t="s">
        <v>958</v>
      </c>
      <c r="E532" s="298">
        <v>27915.14964285</v>
      </c>
      <c r="F532" s="298">
        <v>29612.377791909999</v>
      </c>
      <c r="G532" s="302">
        <v>6.079953612194644E-2</v>
      </c>
      <c r="H532" s="303">
        <v>3982.1754887099996</v>
      </c>
      <c r="I532" s="298">
        <v>33796.50530651</v>
      </c>
      <c r="J532" s="298">
        <v>29612.377791909999</v>
      </c>
      <c r="K532" s="302">
        <v>-0.12380355532777643</v>
      </c>
      <c r="L532" s="298">
        <v>31546.869212990001</v>
      </c>
      <c r="M532" s="298">
        <v>26388.64112054</v>
      </c>
      <c r="N532" s="298">
        <v>24798.609785609999</v>
      </c>
      <c r="O532" s="306">
        <v>23229.600565649998</v>
      </c>
      <c r="P532" s="306" cm="1">
        <f t="array" ref="P532">INDEX($E$302:$E$676, MATCH($B532, $B$302:$B$676, 0) * MATCH("Brazil", $A$302:$A$676, 0))</f>
        <v>125695.23434510001</v>
      </c>
      <c r="Q532" s="306">
        <f t="shared" si="41"/>
        <v>97780.084702250009</v>
      </c>
      <c r="R532" s="336">
        <f>INDEX('Base GDP'!$A$1:$E$76,MATCH(A532,'Base GDP'!$A$1:$A$76,0),4)</f>
        <v>1478297.0807395</v>
      </c>
      <c r="S532" s="336">
        <f>INDEX('Base GDP'!$A$1:$E$76,MATCH(A532,'Base GDP'!$A$1:$A$76,0),5)</f>
        <v>1710728.7967964001</v>
      </c>
      <c r="T532" s="335">
        <f t="shared" si="42"/>
        <v>2.2861781807486024E-2</v>
      </c>
      <c r="U532" s="335">
        <f t="shared" si="43"/>
        <v>1.7309802610071031E-2</v>
      </c>
      <c r="V532" s="335">
        <f t="shared" si="44"/>
        <v>-5.5519791974149926E-3</v>
      </c>
    </row>
    <row r="533" spans="1:22" x14ac:dyDescent="0.45">
      <c r="A533" s="293" t="s">
        <v>76</v>
      </c>
      <c r="B533" s="297" t="s">
        <v>7</v>
      </c>
      <c r="C533" s="293" t="str">
        <f t="shared" si="40"/>
        <v>United KingdomManufacture of motor vehicles, trailers and semi-trailers (C29)</v>
      </c>
      <c r="D533" s="297" t="s">
        <v>958</v>
      </c>
      <c r="E533" s="298">
        <v>16734.320205880002</v>
      </c>
      <c r="F533" s="298">
        <v>22340.6468804</v>
      </c>
      <c r="G533" s="302">
        <v>0.33501968442973151</v>
      </c>
      <c r="H533" s="303">
        <v>15163.004925679998</v>
      </c>
      <c r="I533" s="298">
        <v>25918.234421320001</v>
      </c>
      <c r="J533" s="298">
        <v>22340.6468804</v>
      </c>
      <c r="K533" s="302">
        <v>-0.13803361304491968</v>
      </c>
      <c r="L533" s="298">
        <v>19257.051234490002</v>
      </c>
      <c r="M533" s="298">
        <v>22634.013430620002</v>
      </c>
      <c r="N533" s="298">
        <v>24158.968802169999</v>
      </c>
      <c r="O533" s="306">
        <v>29437.360299740001</v>
      </c>
      <c r="P533" s="306" cm="1">
        <f t="array" ref="P533">INDEX($E$302:$E$676, MATCH($B533, $B$302:$B$676, 0) * MATCH("Brazil", $A$302:$A$676, 0))</f>
        <v>125695.23434510001</v>
      </c>
      <c r="Q533" s="306">
        <f t="shared" si="41"/>
        <v>108960.91413922</v>
      </c>
      <c r="R533" s="336">
        <f>INDEX('Base GDP'!$A$1:$E$76,MATCH(A533,'Base GDP'!$A$1:$A$76,0),4)</f>
        <v>2643868.3114987002</v>
      </c>
      <c r="S533" s="336">
        <f>INDEX('Base GDP'!$A$1:$E$76,MATCH(A533,'Base GDP'!$A$1:$A$76,0),5)</f>
        <v>2777419.6130784</v>
      </c>
      <c r="T533" s="335">
        <f t="shared" si="42"/>
        <v>9.8031487833930807E-3</v>
      </c>
      <c r="U533" s="335">
        <f t="shared" si="43"/>
        <v>8.0436700220599244E-3</v>
      </c>
      <c r="V533" s="335">
        <f t="shared" si="44"/>
        <v>-1.7594787613331563E-3</v>
      </c>
    </row>
    <row r="534" spans="1:22" x14ac:dyDescent="0.45">
      <c r="A534" s="294" t="s">
        <v>18</v>
      </c>
      <c r="B534" s="299" t="s">
        <v>7</v>
      </c>
      <c r="C534" s="293" t="str">
        <f t="shared" si="40"/>
        <v>BrazilManufacture of motor vehicles, trailers and semi-trailers (C29)</v>
      </c>
      <c r="D534" s="297" t="s">
        <v>958</v>
      </c>
      <c r="E534" s="300">
        <v>31897.325131559999</v>
      </c>
      <c r="F534" s="300">
        <v>21237.925348559998</v>
      </c>
      <c r="G534" s="304">
        <v>-0.33417848484270951</v>
      </c>
      <c r="H534" s="305">
        <v>0</v>
      </c>
      <c r="I534" s="300">
        <v>19784.182767269998</v>
      </c>
      <c r="J534" s="300">
        <v>21237.925348559998</v>
      </c>
      <c r="K534" s="304">
        <v>7.3480042031101922E-2</v>
      </c>
      <c r="L534" s="300">
        <v>24113.71303834</v>
      </c>
      <c r="M534" s="300">
        <v>29711.951706759999</v>
      </c>
      <c r="N534" s="300">
        <v>34124.292759700002</v>
      </c>
      <c r="O534" s="307">
        <v>39999.410514750001</v>
      </c>
      <c r="P534" s="306" cm="1">
        <f t="array" ref="P534">INDEX($E$302:$E$676, MATCH($B534, $B$302:$B$676, 0) * MATCH("Brazil", $A$302:$A$676, 0))</f>
        <v>125695.23434510001</v>
      </c>
      <c r="Q534" s="306">
        <f t="shared" si="41"/>
        <v>93797.909213539999</v>
      </c>
      <c r="R534" s="336">
        <f>INDEX('Base GDP'!$A$1:$E$76,MATCH(A534,'Base GDP'!$A$1:$A$76,0),4)</f>
        <v>1855726.8356911</v>
      </c>
      <c r="S534" s="336">
        <f>INDEX('Base GDP'!$A$1:$E$76,MATCH(A534,'Base GDP'!$A$1:$A$76,0),5)</f>
        <v>1898091.4722179</v>
      </c>
      <c r="T534" s="335">
        <f t="shared" si="42"/>
        <v>1.0661150330297442E-2</v>
      </c>
      <c r="U534" s="335">
        <f t="shared" si="43"/>
        <v>1.1189094761457257E-2</v>
      </c>
      <c r="V534" s="335">
        <f t="shared" si="44"/>
        <v>5.2794443115981513E-4</v>
      </c>
    </row>
    <row r="535" spans="1:22" x14ac:dyDescent="0.45">
      <c r="A535" s="293" t="s">
        <v>99</v>
      </c>
      <c r="B535" s="297" t="s">
        <v>7</v>
      </c>
      <c r="C535" s="293" t="str">
        <f t="shared" si="40"/>
        <v>IndonesiaManufacture of motor vehicles, trailers and semi-trailers (C29)</v>
      </c>
      <c r="D535" s="297" t="s">
        <v>958</v>
      </c>
      <c r="E535" s="298">
        <v>12131.983630680001</v>
      </c>
      <c r="F535" s="298">
        <v>16494.90577795</v>
      </c>
      <c r="G535" s="302">
        <v>0.35962149967271717</v>
      </c>
      <c r="H535" s="303">
        <v>19765.34150088</v>
      </c>
      <c r="I535" s="298">
        <v>17551.54740467</v>
      </c>
      <c r="J535" s="298">
        <v>16494.90577795</v>
      </c>
      <c r="K535" s="302">
        <v>-6.0202191998117272E-2</v>
      </c>
      <c r="L535" s="298">
        <v>19941.1032027</v>
      </c>
      <c r="M535" s="298">
        <v>22526.270178589999</v>
      </c>
      <c r="N535" s="298">
        <v>24378.543335229999</v>
      </c>
      <c r="O535" s="306">
        <v>28277.164034410001</v>
      </c>
      <c r="P535" s="306" cm="1">
        <f t="array" ref="P535">INDEX($E$302:$E$676, MATCH($B535, $B$302:$B$676, 0) * MATCH("Brazil", $A$302:$A$676, 0))</f>
        <v>125695.23434510001</v>
      </c>
      <c r="Q535" s="306">
        <f t="shared" si="41"/>
        <v>113563.25071442001</v>
      </c>
      <c r="R535" s="336">
        <f>INDEX('Base GDP'!$A$1:$E$76,MATCH(A535,'Base GDP'!$A$1:$A$76,0),4)</f>
        <v>917924.88667253999</v>
      </c>
      <c r="S535" s="336">
        <f>INDEX('Base GDP'!$A$1:$E$76,MATCH(A535,'Base GDP'!$A$1:$A$76,0),5)</f>
        <v>1136354.4627425</v>
      </c>
      <c r="T535" s="335">
        <f t="shared" si="42"/>
        <v>1.9120897210112717E-2</v>
      </c>
      <c r="U535" s="335">
        <f t="shared" si="43"/>
        <v>1.4515634266213795E-2</v>
      </c>
      <c r="V535" s="335">
        <f t="shared" si="44"/>
        <v>-4.6052629438989214E-3</v>
      </c>
    </row>
    <row r="536" spans="1:22" x14ac:dyDescent="0.45">
      <c r="A536" s="293" t="s">
        <v>101</v>
      </c>
      <c r="B536" s="297" t="s">
        <v>7</v>
      </c>
      <c r="C536" s="293" t="str">
        <f t="shared" si="40"/>
        <v>ItalyManufacture of motor vehicles, trailers and semi-trailers (C29)</v>
      </c>
      <c r="D536" s="297" t="s">
        <v>958</v>
      </c>
      <c r="E536" s="298">
        <v>10652.84326749</v>
      </c>
      <c r="F536" s="298">
        <v>15203.989467400001</v>
      </c>
      <c r="G536" s="302">
        <v>0.4272236139809773</v>
      </c>
      <c r="H536" s="303">
        <v>21244.48186407</v>
      </c>
      <c r="I536" s="298">
        <v>11952.400219630001</v>
      </c>
      <c r="J536" s="298">
        <v>15203.989467400001</v>
      </c>
      <c r="K536" s="302">
        <v>0.27204487701388702</v>
      </c>
      <c r="L536" s="298">
        <v>13840.34402583</v>
      </c>
      <c r="M536" s="298">
        <v>16984.346032050002</v>
      </c>
      <c r="N536" s="298">
        <v>18061.286098960001</v>
      </c>
      <c r="O536" s="306">
        <v>19417.617767079999</v>
      </c>
      <c r="P536" s="306" cm="1">
        <f t="array" ref="P536">INDEX($E$302:$E$676, MATCH($B536, $B$302:$B$676, 0) * MATCH("Brazil", $A$302:$A$676, 0))</f>
        <v>125695.23434510001</v>
      </c>
      <c r="Q536" s="306">
        <f t="shared" si="41"/>
        <v>115042.39107761001</v>
      </c>
      <c r="R536" s="336">
        <f>INDEX('Base GDP'!$A$1:$E$76,MATCH(A536,'Base GDP'!$A$1:$A$76,0),4)</f>
        <v>1924364.2462229</v>
      </c>
      <c r="S536" s="336">
        <f>INDEX('Base GDP'!$A$1:$E$76,MATCH(A536,'Base GDP'!$A$1:$A$76,0),5)</f>
        <v>1980878.3634254001</v>
      </c>
      <c r="T536" s="335">
        <f t="shared" si="42"/>
        <v>6.2110903604085926E-3</v>
      </c>
      <c r="U536" s="335">
        <f t="shared" si="43"/>
        <v>7.6753776244538113E-3</v>
      </c>
      <c r="V536" s="335">
        <f t="shared" si="44"/>
        <v>1.4642872640452187E-3</v>
      </c>
    </row>
    <row r="537" spans="1:22" x14ac:dyDescent="0.45">
      <c r="A537" s="293" t="s">
        <v>70</v>
      </c>
      <c r="B537" s="297" t="s">
        <v>7</v>
      </c>
      <c r="C537" s="293" t="str">
        <f t="shared" si="40"/>
        <v>IndiaManufacture of motor vehicles, trailers and semi-trailers (C29)</v>
      </c>
      <c r="D537" s="297" t="s">
        <v>958</v>
      </c>
      <c r="E537" s="298">
        <v>10653.77357901</v>
      </c>
      <c r="F537" s="298">
        <v>14529.139964030001</v>
      </c>
      <c r="G537" s="302">
        <v>0.36375527941153396</v>
      </c>
      <c r="H537" s="303">
        <v>21243.551552550001</v>
      </c>
      <c r="I537" s="298">
        <v>14269.45251345</v>
      </c>
      <c r="J537" s="298">
        <v>14529.139964030001</v>
      </c>
      <c r="K537" s="302">
        <v>1.8198837715408311E-2</v>
      </c>
      <c r="L537" s="298">
        <v>20580.029392730001</v>
      </c>
      <c r="M537" s="298">
        <v>24633.590114170001</v>
      </c>
      <c r="N537" s="298">
        <v>27917.481775650002</v>
      </c>
      <c r="O537" s="306">
        <v>33384.37417612</v>
      </c>
      <c r="P537" s="306" cm="1">
        <f t="array" ref="P537">INDEX($E$302:$E$676, MATCH($B537, $B$302:$B$676, 0) * MATCH("Brazil", $A$302:$A$676, 0))</f>
        <v>125695.23434510001</v>
      </c>
      <c r="Q537" s="306">
        <f t="shared" si="41"/>
        <v>115041.46076609001</v>
      </c>
      <c r="R537" s="336">
        <f>INDEX('Base GDP'!$A$1:$E$76,MATCH(A537,'Base GDP'!$A$1:$A$76,0),4)</f>
        <v>2233583.9807687998</v>
      </c>
      <c r="S537" s="336">
        <f>INDEX('Base GDP'!$A$1:$E$76,MATCH(A537,'Base GDP'!$A$1:$A$76,0),5)</f>
        <v>2928405.219999</v>
      </c>
      <c r="T537" s="335">
        <f t="shared" si="42"/>
        <v>6.3885901028617039E-3</v>
      </c>
      <c r="U537" s="335">
        <f t="shared" si="43"/>
        <v>4.9614513267514804E-3</v>
      </c>
      <c r="V537" s="335">
        <f t="shared" si="44"/>
        <v>-1.4271387761102235E-3</v>
      </c>
    </row>
    <row r="538" spans="1:22" x14ac:dyDescent="0.45">
      <c r="A538" s="293" t="s">
        <v>109</v>
      </c>
      <c r="B538" s="297" t="s">
        <v>7</v>
      </c>
      <c r="C538" s="293" t="str">
        <f t="shared" si="40"/>
        <v>ThailandManufacture of motor vehicles, trailers and semi-trailers (C29)</v>
      </c>
      <c r="D538" s="297" t="s">
        <v>958</v>
      </c>
      <c r="E538" s="298">
        <v>12063.7803535</v>
      </c>
      <c r="F538" s="298">
        <v>12718.336716739999</v>
      </c>
      <c r="G538" s="302">
        <v>5.4257980836835751E-2</v>
      </c>
      <c r="H538" s="303">
        <v>19833.544778060001</v>
      </c>
      <c r="I538" s="298">
        <v>12771.868581889999</v>
      </c>
      <c r="J538" s="298">
        <v>12718.336716739999</v>
      </c>
      <c r="K538" s="302">
        <v>-4.1913886606934625E-3</v>
      </c>
      <c r="L538" s="298">
        <v>14360.66723112</v>
      </c>
      <c r="M538" s="298">
        <v>16799.226842479999</v>
      </c>
      <c r="N538" s="298">
        <v>18250.726777169999</v>
      </c>
      <c r="O538" s="306">
        <v>23005.857240590001</v>
      </c>
      <c r="P538" s="306" cm="1">
        <f t="array" ref="P538">INDEX($E$302:$E$676, MATCH($B538, $B$302:$B$676, 0) * MATCH("Brazil", $A$302:$A$676, 0))</f>
        <v>125695.23434510001</v>
      </c>
      <c r="Q538" s="306">
        <f t="shared" si="41"/>
        <v>113631.45399160001</v>
      </c>
      <c r="R538" s="336">
        <f>INDEX('Base GDP'!$A$1:$E$76,MATCH(A538,'Base GDP'!$A$1:$A$76,0),4)</f>
        <v>474324.68093352998</v>
      </c>
      <c r="S538" s="336">
        <f>INDEX('Base GDP'!$A$1:$E$76,MATCH(A538,'Base GDP'!$A$1:$A$76,0),5)</f>
        <v>518585.14704719</v>
      </c>
      <c r="T538" s="335">
        <f t="shared" si="42"/>
        <v>2.6926426338923316E-2</v>
      </c>
      <c r="U538" s="335">
        <f t="shared" si="43"/>
        <v>2.4525069391512406E-2</v>
      </c>
      <c r="V538" s="335">
        <f t="shared" si="44"/>
        <v>-2.4013569474109105E-3</v>
      </c>
    </row>
    <row r="539" spans="1:22" x14ac:dyDescent="0.45">
      <c r="A539" s="293" t="s">
        <v>63</v>
      </c>
      <c r="B539" s="297" t="s">
        <v>7</v>
      </c>
      <c r="C539" s="293" t="str">
        <f t="shared" si="40"/>
        <v>CanadaManufacture of motor vehicles, trailers and semi-trailers (C29)</v>
      </c>
      <c r="D539" s="297" t="s">
        <v>958</v>
      </c>
      <c r="E539" s="298">
        <v>11271.112139659999</v>
      </c>
      <c r="F539" s="298">
        <v>11957.48676964</v>
      </c>
      <c r="G539" s="302">
        <v>6.0896797181605011E-2</v>
      </c>
      <c r="H539" s="303">
        <v>20626.2129919</v>
      </c>
      <c r="I539" s="298">
        <v>13821.183257049999</v>
      </c>
      <c r="J539" s="298">
        <v>11957.48676964</v>
      </c>
      <c r="K539" s="302">
        <v>-0.1348434828443037</v>
      </c>
      <c r="L539" s="298">
        <v>16949.924081879999</v>
      </c>
      <c r="M539" s="298">
        <v>15994.85108837</v>
      </c>
      <c r="N539" s="298">
        <v>15892.318043630001</v>
      </c>
      <c r="O539" s="306">
        <v>19077.170749109999</v>
      </c>
      <c r="P539" s="306" cm="1">
        <f t="array" ref="P539">INDEX($E$302:$E$676, MATCH($B539, $B$302:$B$676, 0) * MATCH("Brazil", $A$302:$A$676, 0))</f>
        <v>125695.23434510001</v>
      </c>
      <c r="Q539" s="306">
        <f t="shared" si="41"/>
        <v>114424.12220544001</v>
      </c>
      <c r="R539" s="336">
        <f>INDEX('Base GDP'!$A$1:$E$76,MATCH(A539,'Base GDP'!$A$1:$A$76,0),4)</f>
        <v>1599989.9756132001</v>
      </c>
      <c r="S539" s="336">
        <f>INDEX('Base GDP'!$A$1:$E$76,MATCH(A539,'Base GDP'!$A$1:$A$76,0),5)</f>
        <v>1743385.5162593001</v>
      </c>
      <c r="T539" s="335">
        <f t="shared" si="42"/>
        <v>8.638293656654316E-3</v>
      </c>
      <c r="U539" s="335">
        <f t="shared" si="43"/>
        <v>6.8587737239532735E-3</v>
      </c>
      <c r="V539" s="335">
        <f t="shared" si="44"/>
        <v>-1.7795199327010425E-3</v>
      </c>
    </row>
    <row r="540" spans="1:22" x14ac:dyDescent="0.45">
      <c r="A540" s="293" t="s">
        <v>77</v>
      </c>
      <c r="B540" s="297" t="s">
        <v>7</v>
      </c>
      <c r="C540" s="293" t="str">
        <f t="shared" si="40"/>
        <v>SpainManufacture of motor vehicles, trailers and semi-trailers (C29)</v>
      </c>
      <c r="D540" s="297" t="s">
        <v>958</v>
      </c>
      <c r="E540" s="298">
        <v>9445.1454230100007</v>
      </c>
      <c r="F540" s="298">
        <v>11501.950577809999</v>
      </c>
      <c r="G540" s="302">
        <v>0.21776320667220928</v>
      </c>
      <c r="H540" s="303">
        <v>22452.17970855</v>
      </c>
      <c r="I540" s="298">
        <v>11704.00473371</v>
      </c>
      <c r="J540" s="298">
        <v>11501.950577809999</v>
      </c>
      <c r="K540" s="302">
        <v>-1.7263676877884548E-2</v>
      </c>
      <c r="L540" s="298">
        <v>11692.47218893</v>
      </c>
      <c r="M540" s="298">
        <v>11865.54833951</v>
      </c>
      <c r="N540" s="298">
        <v>12039.44772462</v>
      </c>
      <c r="O540" s="306">
        <v>13777.860916969999</v>
      </c>
      <c r="P540" s="306" cm="1">
        <f t="array" ref="P540">INDEX($E$302:$E$676, MATCH($B540, $B$302:$B$676, 0) * MATCH("Brazil", $A$302:$A$676, 0))</f>
        <v>125695.23434510001</v>
      </c>
      <c r="Q540" s="306">
        <f t="shared" si="41"/>
        <v>116250.08892209</v>
      </c>
      <c r="R540" s="336">
        <f>INDEX('Base GDP'!$A$1:$E$76,MATCH(A540,'Base GDP'!$A$1:$A$76,0),4)</f>
        <v>1259732.1048611</v>
      </c>
      <c r="S540" s="336">
        <f>INDEX('Base GDP'!$A$1:$E$76,MATCH(A540,'Base GDP'!$A$1:$A$76,0),5)</f>
        <v>1317888.2673469</v>
      </c>
      <c r="T540" s="335">
        <f t="shared" si="42"/>
        <v>9.2908680254684007E-3</v>
      </c>
      <c r="U540" s="335">
        <f t="shared" si="43"/>
        <v>8.7275612529468007E-3</v>
      </c>
      <c r="V540" s="335">
        <f t="shared" si="44"/>
        <v>-5.6330677252160004E-4</v>
      </c>
    </row>
    <row r="541" spans="1:22" x14ac:dyDescent="0.45">
      <c r="A541" s="293" t="s">
        <v>74</v>
      </c>
      <c r="B541" s="297" t="s">
        <v>7</v>
      </c>
      <c r="C541" s="293" t="str">
        <f t="shared" si="40"/>
        <v>SwedenManufacture of motor vehicles, trailers and semi-trailers (C29)</v>
      </c>
      <c r="D541" s="297" t="s">
        <v>958</v>
      </c>
      <c r="E541" s="298">
        <v>7639.6921724499998</v>
      </c>
      <c r="F541" s="298">
        <v>11262.160308279999</v>
      </c>
      <c r="G541" s="302">
        <v>0.47416414877201762</v>
      </c>
      <c r="H541" s="303">
        <v>24257.63295911</v>
      </c>
      <c r="I541" s="298">
        <v>10494.787907649999</v>
      </c>
      <c r="J541" s="298">
        <v>11262.160308279999</v>
      </c>
      <c r="K541" s="302">
        <v>7.3119381485607482E-2</v>
      </c>
      <c r="L541" s="298">
        <v>10784.1543487</v>
      </c>
      <c r="M541" s="298">
        <v>10182.05110214</v>
      </c>
      <c r="N541" s="298">
        <v>9807.8161604800007</v>
      </c>
      <c r="O541" s="306">
        <v>12363.60630073</v>
      </c>
      <c r="P541" s="306" cm="1">
        <f t="array" ref="P541">INDEX($E$302:$E$676, MATCH($B541, $B$302:$B$676, 0) * MATCH("Brazil", $A$302:$A$676, 0))</f>
        <v>125695.23434510001</v>
      </c>
      <c r="Q541" s="306">
        <f t="shared" si="41"/>
        <v>118055.54217265001</v>
      </c>
      <c r="R541" s="336">
        <f>INDEX('Base GDP'!$A$1:$E$76,MATCH(A541,'Base GDP'!$A$1:$A$76,0),4)</f>
        <v>490179.06760786998</v>
      </c>
      <c r="S541" s="336">
        <f>INDEX('Base GDP'!$A$1:$E$76,MATCH(A541,'Base GDP'!$A$1:$A$76,0),5)</f>
        <v>552840.30345001002</v>
      </c>
      <c r="T541" s="335">
        <f t="shared" si="42"/>
        <v>2.1410110306965508E-2</v>
      </c>
      <c r="U541" s="335">
        <f t="shared" si="43"/>
        <v>2.0371453090518694E-2</v>
      </c>
      <c r="V541" s="335">
        <f t="shared" si="44"/>
        <v>-1.0386572164468137E-3</v>
      </c>
    </row>
    <row r="542" spans="1:22" x14ac:dyDescent="0.45">
      <c r="A542" s="293" t="s">
        <v>111</v>
      </c>
      <c r="B542" s="297" t="s">
        <v>7</v>
      </c>
      <c r="C542" s="293" t="str">
        <f t="shared" si="40"/>
        <v>Czech RepublicManufacture of motor vehicles, trailers and semi-trailers (C29)</v>
      </c>
      <c r="D542" s="297" t="s">
        <v>958</v>
      </c>
      <c r="E542" s="298">
        <v>7250.0052561499997</v>
      </c>
      <c r="F542" s="298">
        <v>11182.56673629</v>
      </c>
      <c r="G542" s="302">
        <v>0.5424218798743774</v>
      </c>
      <c r="H542" s="303">
        <v>24647.319875410001</v>
      </c>
      <c r="I542" s="298">
        <v>8310.4235659499991</v>
      </c>
      <c r="J542" s="298">
        <v>11182.56673629</v>
      </c>
      <c r="K542" s="302">
        <v>0.34560731442232751</v>
      </c>
      <c r="L542" s="298">
        <v>11765.674287170001</v>
      </c>
      <c r="M542" s="298">
        <v>11626.077634740001</v>
      </c>
      <c r="N542" s="298">
        <v>11765.4558557</v>
      </c>
      <c r="O542" s="306">
        <v>9970.10230864</v>
      </c>
      <c r="P542" s="306" cm="1">
        <f t="array" ref="P542">INDEX($E$302:$E$676, MATCH($B542, $B$302:$B$676, 0) * MATCH("Brazil", $A$302:$A$676, 0))</f>
        <v>125695.23434510001</v>
      </c>
      <c r="Q542" s="306">
        <f t="shared" si="41"/>
        <v>118445.22908895</v>
      </c>
      <c r="R542" s="336">
        <f>INDEX('Base GDP'!$A$1:$E$76,MATCH(A542,'Base GDP'!$A$1:$A$76,0),4)</f>
        <v>220291.04889604999</v>
      </c>
      <c r="S542" s="336">
        <f>INDEX('Base GDP'!$A$1:$E$76,MATCH(A542,'Base GDP'!$A$1:$A$76,0),5)</f>
        <v>247058.51905223</v>
      </c>
      <c r="T542" s="335">
        <f t="shared" si="42"/>
        <v>3.7724744639404242E-2</v>
      </c>
      <c r="U542" s="335">
        <f t="shared" si="43"/>
        <v>4.5262825905331046E-2</v>
      </c>
      <c r="V542" s="335">
        <f t="shared" si="44"/>
        <v>7.5380812659268034E-3</v>
      </c>
    </row>
    <row r="543" spans="1:22" x14ac:dyDescent="0.45">
      <c r="A543" s="293" t="s">
        <v>97</v>
      </c>
      <c r="B543" s="297" t="s">
        <v>7</v>
      </c>
      <c r="C543" s="293" t="str">
        <f t="shared" si="40"/>
        <v>FranceManufacture of motor vehicles, trailers and semi-trailers (C29)</v>
      </c>
      <c r="D543" s="297" t="s">
        <v>958</v>
      </c>
      <c r="E543" s="298">
        <v>18385.595095730001</v>
      </c>
      <c r="F543" s="298">
        <v>9508.0865219999996</v>
      </c>
      <c r="G543" s="302">
        <v>-0.48285130437751111</v>
      </c>
      <c r="H543" s="303">
        <v>13511.730035829998</v>
      </c>
      <c r="I543" s="298">
        <v>14886.82599128</v>
      </c>
      <c r="J543" s="298">
        <v>9508.0865219999996</v>
      </c>
      <c r="K543" s="302">
        <v>-0.36130868140936234</v>
      </c>
      <c r="L543" s="298">
        <v>11944.400991</v>
      </c>
      <c r="M543" s="298">
        <v>10091.81321409</v>
      </c>
      <c r="N543" s="298">
        <v>10279.567277870001</v>
      </c>
      <c r="O543" s="306">
        <v>11254.050216289999</v>
      </c>
      <c r="P543" s="306" cm="1">
        <f t="array" ref="P543">INDEX($E$302:$E$676, MATCH($B543, $B$302:$B$676, 0) * MATCH("Brazil", $A$302:$A$676, 0))</f>
        <v>125695.23434510001</v>
      </c>
      <c r="Q543" s="306">
        <f t="shared" si="41"/>
        <v>107309.63924937</v>
      </c>
      <c r="R543" s="336">
        <f>INDEX('Base GDP'!$A$1:$E$76,MATCH(A543,'Base GDP'!$A$1:$A$76,0),4)</f>
        <v>2544956.5086996001</v>
      </c>
      <c r="S543" s="336">
        <f>INDEX('Base GDP'!$A$1:$E$76,MATCH(A543,'Base GDP'!$A$1:$A$76,0),5)</f>
        <v>2682424.2983101001</v>
      </c>
      <c r="T543" s="335">
        <f t="shared" si="42"/>
        <v>5.8495404304125974E-3</v>
      </c>
      <c r="U543" s="335">
        <f t="shared" si="43"/>
        <v>3.5445870841499597E-3</v>
      </c>
      <c r="V543" s="335">
        <f t="shared" si="44"/>
        <v>-2.3049533462626377E-3</v>
      </c>
    </row>
    <row r="544" spans="1:22" x14ac:dyDescent="0.45">
      <c r="A544" s="293" t="s">
        <v>112</v>
      </c>
      <c r="B544" s="297" t="s">
        <v>7</v>
      </c>
      <c r="C544" s="293" t="str">
        <f t="shared" si="40"/>
        <v>PolandManufacture of motor vehicles, trailers and semi-trailers (C29)</v>
      </c>
      <c r="D544" s="297" t="s">
        <v>958</v>
      </c>
      <c r="E544" s="298">
        <v>5224.8215819799998</v>
      </c>
      <c r="F544" s="298">
        <v>8572.7438196200001</v>
      </c>
      <c r="G544" s="302">
        <v>0.64077254794435889</v>
      </c>
      <c r="H544" s="303">
        <v>26672.50354958</v>
      </c>
      <c r="I544" s="298">
        <v>6774.2761643699996</v>
      </c>
      <c r="J544" s="298">
        <v>8572.7438196200001</v>
      </c>
      <c r="K544" s="302">
        <v>0.26548484467008082</v>
      </c>
      <c r="L544" s="298">
        <v>12127.32386586</v>
      </c>
      <c r="M544" s="298">
        <v>14407.32948194</v>
      </c>
      <c r="N544" s="298">
        <v>14046.354058639999</v>
      </c>
      <c r="O544" s="306">
        <v>13266.94838863</v>
      </c>
      <c r="P544" s="306" cm="1">
        <f t="array" ref="P544">INDEX($E$302:$E$676, MATCH($B544, $B$302:$B$676, 0) * MATCH("Brazil", $A$302:$A$676, 0))</f>
        <v>125695.23434510001</v>
      </c>
      <c r="Q544" s="306">
        <f t="shared" si="41"/>
        <v>120470.41276312001</v>
      </c>
      <c r="R544" s="336">
        <f>INDEX('Base GDP'!$A$1:$E$76,MATCH(A544,'Base GDP'!$A$1:$A$76,0),4)</f>
        <v>496555.53410177003</v>
      </c>
      <c r="S544" s="336">
        <f>INDEX('Base GDP'!$A$1:$E$76,MATCH(A544,'Base GDP'!$A$1:$A$76,0),5)</f>
        <v>623108.57565016998</v>
      </c>
      <c r="T544" s="335">
        <f t="shared" si="42"/>
        <v>1.3642534820650289E-2</v>
      </c>
      <c r="U544" s="335">
        <f t="shared" si="43"/>
        <v>1.3758025735201839E-2</v>
      </c>
      <c r="V544" s="335">
        <f t="shared" si="44"/>
        <v>1.1549091455155015E-4</v>
      </c>
    </row>
    <row r="545" spans="1:22" x14ac:dyDescent="0.45">
      <c r="A545" s="293" t="s">
        <v>106</v>
      </c>
      <c r="B545" s="297" t="s">
        <v>7</v>
      </c>
      <c r="C545" s="293" t="str">
        <f t="shared" si="40"/>
        <v>RussiaManufacture of motor vehicles, trailers and semi-trailers (C29)</v>
      </c>
      <c r="D545" s="297" t="s">
        <v>958</v>
      </c>
      <c r="E545" s="298">
        <v>5539.5601030899998</v>
      </c>
      <c r="F545" s="298">
        <v>8267.2927805800009</v>
      </c>
      <c r="G545" s="302">
        <v>0.49240961858477816</v>
      </c>
      <c r="H545" s="303">
        <v>26357.765028469999</v>
      </c>
      <c r="I545" s="298">
        <v>6573.40245168</v>
      </c>
      <c r="J545" s="298">
        <v>8267.2927805800009</v>
      </c>
      <c r="K545" s="302">
        <v>0.25768851692126105</v>
      </c>
      <c r="L545" s="298">
        <v>7286.5469377999998</v>
      </c>
      <c r="M545" s="298">
        <v>7832.1630643899998</v>
      </c>
      <c r="N545" s="298">
        <v>8217.6334075499999</v>
      </c>
      <c r="O545" s="306">
        <v>9526.9640060799993</v>
      </c>
      <c r="P545" s="306" cm="1">
        <f t="array" ref="P545">INDEX($E$302:$E$676, MATCH($B545, $B$302:$B$676, 0) * MATCH("Brazil", $A$302:$A$676, 0))</f>
        <v>125695.23434510001</v>
      </c>
      <c r="Q545" s="306">
        <f t="shared" si="41"/>
        <v>120155.67424201001</v>
      </c>
      <c r="R545" s="336">
        <f>INDEX('Base GDP'!$A$1:$E$76,MATCH(A545,'Base GDP'!$A$1:$A$76,0),4)</f>
        <v>1579786.0768998</v>
      </c>
      <c r="S545" s="336">
        <f>INDEX('Base GDP'!$A$1:$E$76,MATCH(A545,'Base GDP'!$A$1:$A$76,0),5)</f>
        <v>1741025.8573970001</v>
      </c>
      <c r="T545" s="335">
        <f t="shared" si="42"/>
        <v>4.1609446670018519E-3</v>
      </c>
      <c r="U545" s="335">
        <f t="shared" si="43"/>
        <v>4.7485180909032521E-3</v>
      </c>
      <c r="V545" s="335">
        <f t="shared" si="44"/>
        <v>5.8757342390140018E-4</v>
      </c>
    </row>
    <row r="546" spans="1:22" x14ac:dyDescent="0.45">
      <c r="A546" s="293" t="s">
        <v>108</v>
      </c>
      <c r="B546" s="297" t="s">
        <v>7</v>
      </c>
      <c r="C546" s="293" t="str">
        <f t="shared" si="40"/>
        <v>TurkeyManufacture of motor vehicles, trailers and semi-trailers (C29)</v>
      </c>
      <c r="D546" s="297" t="s">
        <v>958</v>
      </c>
      <c r="E546" s="298">
        <v>3802.1990346399998</v>
      </c>
      <c r="F546" s="298">
        <v>7313.2170023899998</v>
      </c>
      <c r="G546" s="302">
        <v>0.92341772110371134</v>
      </c>
      <c r="H546" s="303">
        <v>28095.126096920001</v>
      </c>
      <c r="I546" s="298">
        <v>5966.7102625699999</v>
      </c>
      <c r="J546" s="298">
        <v>7313.2170023899998</v>
      </c>
      <c r="K546" s="302">
        <v>0.2256698717661596</v>
      </c>
      <c r="L546" s="298">
        <v>9512.9901941999997</v>
      </c>
      <c r="M546" s="298">
        <v>9940.35619013</v>
      </c>
      <c r="N546" s="298">
        <v>10172.913183389999</v>
      </c>
      <c r="O546" s="306">
        <v>11075.86946127</v>
      </c>
      <c r="P546" s="306" cm="1">
        <f t="array" ref="P546">INDEX($E$302:$E$676, MATCH($B546, $B$302:$B$676, 0) * MATCH("Brazil", $A$302:$A$676, 0))</f>
        <v>125695.23434510001</v>
      </c>
      <c r="Q546" s="306">
        <f t="shared" si="41"/>
        <v>121893.03531046001</v>
      </c>
      <c r="R546" s="336">
        <f>INDEX('Base GDP'!$A$1:$E$76,MATCH(A546,'Base GDP'!$A$1:$A$76,0),4)</f>
        <v>659235.83503077005</v>
      </c>
      <c r="S546" s="336">
        <f>INDEX('Base GDP'!$A$1:$E$76,MATCH(A546,'Base GDP'!$A$1:$A$76,0),5)</f>
        <v>865088.75381619995</v>
      </c>
      <c r="T546" s="335">
        <f t="shared" si="42"/>
        <v>9.0509495168622049E-3</v>
      </c>
      <c r="U546" s="335">
        <f t="shared" si="43"/>
        <v>8.4537187313196687E-3</v>
      </c>
      <c r="V546" s="335">
        <f t="shared" si="44"/>
        <v>-5.9723078554253621E-4</v>
      </c>
    </row>
    <row r="547" spans="1:22" x14ac:dyDescent="0.45">
      <c r="A547" s="293" t="s">
        <v>113</v>
      </c>
      <c r="B547" s="297" t="s">
        <v>7</v>
      </c>
      <c r="C547" s="293" t="str">
        <f t="shared" si="40"/>
        <v>HungaryManufacture of motor vehicles, trailers and semi-trailers (C29)</v>
      </c>
      <c r="D547" s="297" t="s">
        <v>958</v>
      </c>
      <c r="E547" s="298">
        <v>2935.0108501599998</v>
      </c>
      <c r="F547" s="298">
        <v>5415.5869622999999</v>
      </c>
      <c r="G547" s="302">
        <v>0.84516761224401393</v>
      </c>
      <c r="H547" s="303">
        <v>28962.314281399998</v>
      </c>
      <c r="I547" s="298">
        <v>5045.0732713699999</v>
      </c>
      <c r="J547" s="298">
        <v>5415.5869622999999</v>
      </c>
      <c r="K547" s="302">
        <v>7.3440695704581227E-2</v>
      </c>
      <c r="L547" s="298">
        <v>7379.5339219400003</v>
      </c>
      <c r="M547" s="298">
        <v>8490.7036569400007</v>
      </c>
      <c r="N547" s="298">
        <v>8627.6640529399992</v>
      </c>
      <c r="O547" s="306">
        <v>10239.52679657</v>
      </c>
      <c r="P547" s="306" cm="1">
        <f t="array" ref="P547">INDEX($E$302:$E$676, MATCH($B547, $B$302:$B$676, 0) * MATCH("Brazil", $A$302:$A$676, 0))</f>
        <v>125695.23434510001</v>
      </c>
      <c r="Q547" s="306">
        <f t="shared" si="41"/>
        <v>122760.22349494</v>
      </c>
      <c r="R547" s="336">
        <f>INDEX('Base GDP'!$A$1:$E$76,MATCH(A547,'Base GDP'!$A$1:$A$76,0),4)</f>
        <v>139098.07965294999</v>
      </c>
      <c r="S547" s="336">
        <f>INDEX('Base GDP'!$A$1:$E$76,MATCH(A547,'Base GDP'!$A$1:$A$76,0),5)</f>
        <v>167320.49519441</v>
      </c>
      <c r="T547" s="335">
        <f t="shared" si="42"/>
        <v>3.6269898793408716E-2</v>
      </c>
      <c r="U547" s="335">
        <f t="shared" si="43"/>
        <v>3.2366548736349476E-2</v>
      </c>
      <c r="V547" s="335">
        <f t="shared" si="44"/>
        <v>-3.9033500570592392E-3</v>
      </c>
    </row>
    <row r="548" spans="1:22" x14ac:dyDescent="0.45">
      <c r="A548" s="293" t="s">
        <v>73</v>
      </c>
      <c r="B548" s="297" t="s">
        <v>7</v>
      </c>
      <c r="C548" s="293" t="str">
        <f t="shared" si="40"/>
        <v>TaiwanManufacture of motor vehicles, trailers and semi-trailers (C29)</v>
      </c>
      <c r="D548" s="297" t="s">
        <v>958</v>
      </c>
      <c r="E548" s="298">
        <v>4058.2236815800002</v>
      </c>
      <c r="F548" s="298">
        <v>5243.54709078</v>
      </c>
      <c r="G548" s="302">
        <v>0.29207936826649106</v>
      </c>
      <c r="H548" s="303">
        <v>27839.10144998</v>
      </c>
      <c r="I548" s="298">
        <v>4913.2670073199997</v>
      </c>
      <c r="J548" s="298">
        <v>5243.54709078</v>
      </c>
      <c r="K548" s="302">
        <v>6.7222091322929334E-2</v>
      </c>
      <c r="L548" s="298">
        <v>4523.6154480100004</v>
      </c>
      <c r="M548" s="298">
        <v>4941.9024760299999</v>
      </c>
      <c r="N548" s="298">
        <v>4959.3427287699997</v>
      </c>
      <c r="O548" s="306">
        <v>5192.4260097200004</v>
      </c>
      <c r="P548" s="306" cm="1">
        <f t="array" ref="P548">INDEX($E$302:$E$676, MATCH($B548, $B$302:$B$676, 0) * MATCH("Brazil", $A$302:$A$676, 0))</f>
        <v>125695.23434510001</v>
      </c>
      <c r="Q548" s="306">
        <f t="shared" si="41"/>
        <v>121637.01066352001</v>
      </c>
      <c r="R548" s="336">
        <f>INDEX('Base GDP'!$A$1:$E$76,MATCH(A548,'Base GDP'!$A$1:$A$76,0),4)</f>
        <v>546880.06131035998</v>
      </c>
      <c r="S548" s="336">
        <f>INDEX('Base GDP'!$A$1:$E$76,MATCH(A548,'Base GDP'!$A$1:$A$76,0),5)</f>
        <v>674049.24440882006</v>
      </c>
      <c r="T548" s="335">
        <f t="shared" si="42"/>
        <v>8.9841765222661331E-3</v>
      </c>
      <c r="U548" s="335">
        <f t="shared" si="43"/>
        <v>7.7791750888748373E-3</v>
      </c>
      <c r="V548" s="335">
        <f t="shared" si="44"/>
        <v>-1.2050014333912958E-3</v>
      </c>
    </row>
    <row r="549" spans="1:22" x14ac:dyDescent="0.45">
      <c r="A549" s="293" t="s">
        <v>157</v>
      </c>
      <c r="B549" s="297" t="s">
        <v>7</v>
      </c>
      <c r="C549" s="293" t="str">
        <f t="shared" si="40"/>
        <v>SlovakiaManufacture of motor vehicles, trailers and semi-trailers (C29)</v>
      </c>
      <c r="D549" s="297" t="s">
        <v>958</v>
      </c>
      <c r="E549" s="298">
        <v>1842.21470312</v>
      </c>
      <c r="F549" s="298">
        <v>4571.7313054400001</v>
      </c>
      <c r="G549" s="302">
        <v>1.4816495589234271</v>
      </c>
      <c r="H549" s="303">
        <v>30055.110428439999</v>
      </c>
      <c r="I549" s="298">
        <v>3289.4313111000001</v>
      </c>
      <c r="J549" s="298">
        <v>4571.7313054400001</v>
      </c>
      <c r="K549" s="302">
        <v>0.38982421977104398</v>
      </c>
      <c r="L549" s="298">
        <v>5133.88973059</v>
      </c>
      <c r="M549" s="298">
        <v>5893.37739298</v>
      </c>
      <c r="N549" s="298">
        <v>6333.7799496500002</v>
      </c>
      <c r="O549" s="306">
        <v>7963.5645852400003</v>
      </c>
      <c r="P549" s="306" cm="1">
        <f t="array" ref="P549">INDEX($E$302:$E$676, MATCH($B549, $B$302:$B$676, 0) * MATCH("Brazil", $A$302:$A$676, 0))</f>
        <v>125695.23434510001</v>
      </c>
      <c r="Q549" s="306">
        <f t="shared" si="41"/>
        <v>123853.01964198</v>
      </c>
      <c r="R549" s="336">
        <f>INDEX('Base GDP'!$A$1:$E$76,MATCH(A549,'Base GDP'!$A$1:$A$76,0),4)</f>
        <v>94460.171576160006</v>
      </c>
      <c r="S549" s="336">
        <f>INDEX('Base GDP'!$A$1:$E$76,MATCH(A549,'Base GDP'!$A$1:$A$76,0),5)</f>
        <v>107076.6714533</v>
      </c>
      <c r="T549" s="335">
        <f t="shared" si="42"/>
        <v>3.4823473811370798E-2</v>
      </c>
      <c r="U549" s="335">
        <f t="shared" si="43"/>
        <v>4.2695866834391624E-2</v>
      </c>
      <c r="V549" s="335">
        <f t="shared" si="44"/>
        <v>7.8723930230208267E-3</v>
      </c>
    </row>
    <row r="550" spans="1:22" x14ac:dyDescent="0.45">
      <c r="A550" s="293" t="s">
        <v>144</v>
      </c>
      <c r="B550" s="297" t="s">
        <v>7</v>
      </c>
      <c r="C550" s="293" t="str">
        <f t="shared" si="40"/>
        <v>MalaysiaManufacture of motor vehicles, trailers and semi-trailers (C29)</v>
      </c>
      <c r="D550" s="297" t="s">
        <v>958</v>
      </c>
      <c r="E550" s="298">
        <v>1934.34353706</v>
      </c>
      <c r="F550" s="298">
        <v>4494.2746358699997</v>
      </c>
      <c r="G550" s="302">
        <v>1.3234107849843606</v>
      </c>
      <c r="H550" s="303">
        <v>29962.981594500001</v>
      </c>
      <c r="I550" s="298">
        <v>3151.7034660200002</v>
      </c>
      <c r="J550" s="298">
        <v>4494.2746358699997</v>
      </c>
      <c r="K550" s="302">
        <v>0.42598270564629304</v>
      </c>
      <c r="L550" s="298">
        <v>6556.1843736199999</v>
      </c>
      <c r="M550" s="298">
        <v>7521.0985572</v>
      </c>
      <c r="N550" s="298">
        <v>8296.0996735200006</v>
      </c>
      <c r="O550" s="306">
        <v>9645.1664316000006</v>
      </c>
      <c r="P550" s="306" cm="1">
        <f t="array" ref="P550">INDEX($E$302:$E$676, MATCH($B550, $B$302:$B$676, 0) * MATCH("Brazil", $A$302:$A$676, 0))</f>
        <v>125695.23434510001</v>
      </c>
      <c r="Q550" s="306">
        <f t="shared" si="41"/>
        <v>123760.89080804</v>
      </c>
      <c r="R550" s="336">
        <f>INDEX('Base GDP'!$A$1:$E$76,MATCH(A550,'Base GDP'!$A$1:$A$76,0),4)</f>
        <v>301830.41438700003</v>
      </c>
      <c r="S550" s="336">
        <f>INDEX('Base GDP'!$A$1:$E$76,MATCH(A550,'Base GDP'!$A$1:$A$76,0),5)</f>
        <v>356559.39228144003</v>
      </c>
      <c r="T550" s="335">
        <f t="shared" si="42"/>
        <v>1.0441967793142803E-2</v>
      </c>
      <c r="U550" s="335">
        <f t="shared" si="43"/>
        <v>1.2604561072177764E-2</v>
      </c>
      <c r="V550" s="335">
        <f t="shared" si="44"/>
        <v>2.1625932790349609E-3</v>
      </c>
    </row>
    <row r="551" spans="1:22" x14ac:dyDescent="0.45">
      <c r="A551" s="293" t="s">
        <v>72</v>
      </c>
      <c r="B551" s="297" t="s">
        <v>7</v>
      </c>
      <c r="C551" s="293" t="str">
        <f t="shared" si="40"/>
        <v>AustriaManufacture of motor vehicles, trailers and semi-trailers (C29)</v>
      </c>
      <c r="D551" s="297" t="s">
        <v>958</v>
      </c>
      <c r="E551" s="298">
        <v>3337.3908202100001</v>
      </c>
      <c r="F551" s="298">
        <v>4487.92137413</v>
      </c>
      <c r="G551" s="302">
        <v>0.34473953333628593</v>
      </c>
      <c r="H551" s="303">
        <v>28559.93431135</v>
      </c>
      <c r="I551" s="298">
        <v>3972.49513445</v>
      </c>
      <c r="J551" s="298">
        <v>4487.92137413</v>
      </c>
      <c r="K551" s="302">
        <v>0.12974874033454586</v>
      </c>
      <c r="L551" s="298">
        <v>4157.9811017900001</v>
      </c>
      <c r="M551" s="298">
        <v>4212.59117496</v>
      </c>
      <c r="N551" s="298">
        <v>4626.2302328400001</v>
      </c>
      <c r="O551" s="306">
        <v>4397.6874293700002</v>
      </c>
      <c r="P551" s="306" cm="1">
        <f t="array" ref="P551">INDEX($E$302:$E$676, MATCH($B551, $B$302:$B$676, 0) * MATCH("Brazil", $A$302:$A$676, 0))</f>
        <v>125695.23434510001</v>
      </c>
      <c r="Q551" s="306">
        <f t="shared" si="41"/>
        <v>122357.84352489001</v>
      </c>
      <c r="R551" s="336">
        <f>INDEX('Base GDP'!$A$1:$E$76,MATCH(A551,'Base GDP'!$A$1:$A$76,0),4)</f>
        <v>410010.85265116999</v>
      </c>
      <c r="S551" s="336">
        <f>INDEX('Base GDP'!$A$1:$E$76,MATCH(A551,'Base GDP'!$A$1:$A$76,0),5)</f>
        <v>432694.04992214998</v>
      </c>
      <c r="T551" s="335">
        <f t="shared" si="42"/>
        <v>9.6887560628297047E-3</v>
      </c>
      <c r="U551" s="335">
        <f t="shared" si="43"/>
        <v>1.0372043190650446E-2</v>
      </c>
      <c r="V551" s="335">
        <f t="shared" si="44"/>
        <v>6.8328712782074127E-4</v>
      </c>
    </row>
    <row r="552" spans="1:22" x14ac:dyDescent="0.45">
      <c r="A552" s="293" t="s">
        <v>162</v>
      </c>
      <c r="B552" s="297" t="s">
        <v>7</v>
      </c>
      <c r="C552" s="293" t="str">
        <f t="shared" si="40"/>
        <v>RomaniaManufacture of motor vehicles, trailers and semi-trailers (C29)</v>
      </c>
      <c r="D552" s="297" t="s">
        <v>958</v>
      </c>
      <c r="E552" s="298">
        <v>1663.2158620299999</v>
      </c>
      <c r="F552" s="298">
        <v>3369.9779528600002</v>
      </c>
      <c r="G552" s="302">
        <v>1.0261819465495301</v>
      </c>
      <c r="H552" s="303">
        <v>30234.109269529999</v>
      </c>
      <c r="I552" s="298">
        <v>2469.3940235599998</v>
      </c>
      <c r="J552" s="298">
        <v>3369.9779528600002</v>
      </c>
      <c r="K552" s="302">
        <v>0.36469835138001772</v>
      </c>
      <c r="L552" s="298">
        <v>3615.1915073999999</v>
      </c>
      <c r="M552" s="298">
        <v>3587.4795640699999</v>
      </c>
      <c r="N552" s="298">
        <v>3883.5918696799999</v>
      </c>
      <c r="O552" s="306">
        <v>4107.2734425899998</v>
      </c>
      <c r="P552" s="306" cm="1">
        <f t="array" ref="P552">INDEX($E$302:$E$676, MATCH($B552, $B$302:$B$676, 0) * MATCH("Brazil", $A$302:$A$676, 0))</f>
        <v>125695.23434510001</v>
      </c>
      <c r="Q552" s="306">
        <f t="shared" si="41"/>
        <v>124032.01848307</v>
      </c>
      <c r="R552" s="336">
        <f>INDEX('Base GDP'!$A$1:$E$76,MATCH(A552,'Base GDP'!$A$1:$A$76,0),4)</f>
        <v>204518.17392167001</v>
      </c>
      <c r="S552" s="336">
        <f>INDEX('Base GDP'!$A$1:$E$76,MATCH(A552,'Base GDP'!$A$1:$A$76,0),5)</f>
        <v>254974.25152873</v>
      </c>
      <c r="T552" s="335">
        <f t="shared" si="42"/>
        <v>1.2074203363979633E-2</v>
      </c>
      <c r="U552" s="335">
        <f t="shared" si="43"/>
        <v>1.3216934387118998E-2</v>
      </c>
      <c r="V552" s="335">
        <f t="shared" si="44"/>
        <v>1.1427310231393647E-3</v>
      </c>
    </row>
    <row r="553" spans="1:22" x14ac:dyDescent="0.45">
      <c r="A553" s="293" t="s">
        <v>66</v>
      </c>
      <c r="B553" s="297" t="s">
        <v>7</v>
      </c>
      <c r="C553" s="293" t="str">
        <f t="shared" si="40"/>
        <v>NetherlandsManufacture of motor vehicles, trailers and semi-trailers (C29)</v>
      </c>
      <c r="D553" s="297" t="s">
        <v>958</v>
      </c>
      <c r="E553" s="298">
        <v>2490.8210780200002</v>
      </c>
      <c r="F553" s="298">
        <v>3116.1079408300002</v>
      </c>
      <c r="G553" s="302">
        <v>0.25103644269264502</v>
      </c>
      <c r="H553" s="303">
        <v>29406.50405354</v>
      </c>
      <c r="I553" s="298">
        <v>2476.5469147499998</v>
      </c>
      <c r="J553" s="298">
        <v>3116.1079408300002</v>
      </c>
      <c r="K553" s="302">
        <v>0.25824708680899833</v>
      </c>
      <c r="L553" s="298">
        <v>3171.6694012399998</v>
      </c>
      <c r="M553" s="298">
        <v>3122.4174264899998</v>
      </c>
      <c r="N553" s="298">
        <v>3039.7548045799999</v>
      </c>
      <c r="O553" s="306">
        <v>2846.3515322500002</v>
      </c>
      <c r="P553" s="306" cm="1">
        <f t="array" ref="P553">INDEX($E$302:$E$676, MATCH($B553, $B$302:$B$676, 0) * MATCH("Brazil", $A$302:$A$676, 0))</f>
        <v>125695.23434510001</v>
      </c>
      <c r="Q553" s="306">
        <f t="shared" si="41"/>
        <v>123204.41326708</v>
      </c>
      <c r="R553" s="336">
        <f>INDEX('Base GDP'!$A$1:$E$76,MATCH(A553,'Base GDP'!$A$1:$A$76,0),4)</f>
        <v>829203.89806390996</v>
      </c>
      <c r="S553" s="336">
        <f>INDEX('Base GDP'!$A$1:$E$76,MATCH(A553,'Base GDP'!$A$1:$A$76,0),5)</f>
        <v>928325.09368340997</v>
      </c>
      <c r="T553" s="335">
        <f t="shared" si="42"/>
        <v>2.9866561415502688E-3</v>
      </c>
      <c r="U553" s="335">
        <f t="shared" si="43"/>
        <v>3.3566990292871451E-3</v>
      </c>
      <c r="V553" s="335">
        <f t="shared" si="44"/>
        <v>3.7004288773687631E-4</v>
      </c>
    </row>
    <row r="554" spans="1:22" x14ac:dyDescent="0.45">
      <c r="A554" s="293" t="s">
        <v>145</v>
      </c>
      <c r="B554" s="297" t="s">
        <v>7</v>
      </c>
      <c r="C554" s="293" t="str">
        <f t="shared" si="40"/>
        <v>South AfricaManufacture of motor vehicles, trailers and semi-trailers (C29)</v>
      </c>
      <c r="D554" s="297" t="s">
        <v>958</v>
      </c>
      <c r="E554" s="298">
        <v>2390.5788450599998</v>
      </c>
      <c r="F554" s="298">
        <v>2788.5947671700001</v>
      </c>
      <c r="G554" s="302">
        <v>0.16649353479073836</v>
      </c>
      <c r="H554" s="303">
        <v>29506.746286499998</v>
      </c>
      <c r="I554" s="298">
        <v>2859.9293809000001</v>
      </c>
      <c r="J554" s="298">
        <v>2788.5947671700001</v>
      </c>
      <c r="K554" s="302">
        <v>-2.4942788520026848E-2</v>
      </c>
      <c r="L554" s="298">
        <v>2904.5309765299999</v>
      </c>
      <c r="M554" s="298">
        <v>2681.44031141</v>
      </c>
      <c r="N554" s="298">
        <v>2493.9624735500001</v>
      </c>
      <c r="O554" s="306">
        <v>2601.3695269499999</v>
      </c>
      <c r="P554" s="306" cm="1">
        <f t="array" ref="P554">INDEX($E$302:$E$676, MATCH($B554, $B$302:$B$676, 0) * MATCH("Brazil", $A$302:$A$676, 0))</f>
        <v>125695.23434510001</v>
      </c>
      <c r="Q554" s="306">
        <f t="shared" si="41"/>
        <v>123304.65550004001</v>
      </c>
      <c r="R554" s="336">
        <f>INDEX('Base GDP'!$A$1:$E$76,MATCH(A554,'Base GDP'!$A$1:$A$76,0),4)</f>
        <v>375376.48654821003</v>
      </c>
      <c r="S554" s="336">
        <f>INDEX('Base GDP'!$A$1:$E$76,MATCH(A554,'Base GDP'!$A$1:$A$76,0),5)</f>
        <v>383209.69906191999</v>
      </c>
      <c r="T554" s="335">
        <f t="shared" si="42"/>
        <v>7.6188293177300442E-3</v>
      </c>
      <c r="U554" s="335">
        <f t="shared" si="43"/>
        <v>7.2769420345997343E-3</v>
      </c>
      <c r="V554" s="335">
        <f t="shared" si="44"/>
        <v>-3.4188728313030992E-4</v>
      </c>
    </row>
    <row r="555" spans="1:22" x14ac:dyDescent="0.45">
      <c r="A555" s="293" t="s">
        <v>122</v>
      </c>
      <c r="B555" s="297" t="s">
        <v>7</v>
      </c>
      <c r="C555" s="293" t="str">
        <f t="shared" si="40"/>
        <v>VietnamManufacture of motor vehicles, trailers and semi-trailers (C29)</v>
      </c>
      <c r="D555" s="297" t="s">
        <v>958</v>
      </c>
      <c r="E555" s="298">
        <v>1004.9674494</v>
      </c>
      <c r="F555" s="298">
        <v>2698.8418427900001</v>
      </c>
      <c r="G555" s="302">
        <v>1.685501748739525</v>
      </c>
      <c r="H555" s="303">
        <v>30892.35768216</v>
      </c>
      <c r="I555" s="298">
        <v>1777.51424419</v>
      </c>
      <c r="J555" s="298">
        <v>2698.8418427900001</v>
      </c>
      <c r="K555" s="302">
        <v>0.51832360928271615</v>
      </c>
      <c r="L555" s="298">
        <v>3333.0399300099998</v>
      </c>
      <c r="M555" s="298">
        <v>4545.9486298000002</v>
      </c>
      <c r="N555" s="298">
        <v>5554.9691564499999</v>
      </c>
      <c r="O555" s="306">
        <v>7170.0651584200004</v>
      </c>
      <c r="P555" s="306" cm="1">
        <f t="array" ref="P555">INDEX($E$302:$E$676, MATCH($B555, $B$302:$B$676, 0) * MATCH("Brazil", $A$302:$A$676, 0))</f>
        <v>125695.23434510001</v>
      </c>
      <c r="Q555" s="306">
        <f t="shared" si="41"/>
        <v>124690.2668957</v>
      </c>
      <c r="R555" s="336">
        <f>INDEX('Base GDP'!$A$1:$E$76,MATCH(A555,'Base GDP'!$A$1:$A$76,0),4)</f>
        <v>254018.52751081</v>
      </c>
      <c r="S555" s="336">
        <f>INDEX('Base GDP'!$A$1:$E$76,MATCH(A555,'Base GDP'!$A$1:$A$76,0),5)</f>
        <v>352775.42056751001</v>
      </c>
      <c r="T555" s="335">
        <f t="shared" si="42"/>
        <v>6.997577151589292E-3</v>
      </c>
      <c r="U555" s="335">
        <f t="shared" si="43"/>
        <v>7.6503114600455207E-3</v>
      </c>
      <c r="V555" s="335">
        <f t="shared" si="44"/>
        <v>6.5273430845622874E-4</v>
      </c>
    </row>
    <row r="556" spans="1:22" x14ac:dyDescent="0.45">
      <c r="A556" s="293" t="s">
        <v>142</v>
      </c>
      <c r="B556" s="297" t="s">
        <v>7</v>
      </c>
      <c r="C556" s="293" t="str">
        <f t="shared" si="40"/>
        <v>ArgentinaManufacture of motor vehicles, trailers and semi-trailers (C29)</v>
      </c>
      <c r="D556" s="297" t="s">
        <v>958</v>
      </c>
      <c r="E556" s="298">
        <v>3700.2394959200001</v>
      </c>
      <c r="F556" s="298">
        <v>2483.8689360899998</v>
      </c>
      <c r="G556" s="302">
        <v>-0.32872752187289733</v>
      </c>
      <c r="H556" s="303">
        <v>28197.08563564</v>
      </c>
      <c r="I556" s="298">
        <v>2821.00529783</v>
      </c>
      <c r="J556" s="298">
        <v>2483.8689360899998</v>
      </c>
      <c r="K556" s="302">
        <v>-0.1195092976249762</v>
      </c>
      <c r="L556" s="298">
        <v>2736.9746549199999</v>
      </c>
      <c r="M556" s="298">
        <v>3107.73899308</v>
      </c>
      <c r="N556" s="298">
        <v>3132.8495269199998</v>
      </c>
      <c r="O556" s="306">
        <v>3501.51284179</v>
      </c>
      <c r="P556" s="306" cm="1">
        <f t="array" ref="P556">INDEX($E$302:$E$676, MATCH($B556, $B$302:$B$676, 0) * MATCH("Brazil", $A$302:$A$676, 0))</f>
        <v>125695.23434510001</v>
      </c>
      <c r="Q556" s="306">
        <f t="shared" si="41"/>
        <v>121994.99484918</v>
      </c>
      <c r="R556" s="336">
        <f>INDEX('Base GDP'!$A$1:$E$76,MATCH(A556,'Base GDP'!$A$1:$A$76,0),4)</f>
        <v>464976.94374428003</v>
      </c>
      <c r="S556" s="336">
        <f>INDEX('Base GDP'!$A$1:$E$76,MATCH(A556,'Base GDP'!$A$1:$A$76,0),5)</f>
        <v>445673.70595729002</v>
      </c>
      <c r="T556" s="335">
        <f t="shared" si="42"/>
        <v>6.0669788809602733E-3</v>
      </c>
      <c r="U556" s="335">
        <f t="shared" si="43"/>
        <v>5.5732902858936775E-3</v>
      </c>
      <c r="V556" s="335">
        <f t="shared" si="44"/>
        <v>-4.9368859506659576E-4</v>
      </c>
    </row>
    <row r="557" spans="1:22" x14ac:dyDescent="0.45">
      <c r="A557" s="293" t="s">
        <v>118</v>
      </c>
      <c r="B557" s="297" t="s">
        <v>7</v>
      </c>
      <c r="C557" s="293" t="str">
        <f t="shared" si="40"/>
        <v>BelgiumManufacture of motor vehicles, trailers and semi-trailers (C29)</v>
      </c>
      <c r="D557" s="297" t="s">
        <v>958</v>
      </c>
      <c r="E557" s="298">
        <v>3142.7611647399999</v>
      </c>
      <c r="F557" s="298">
        <v>2445.71624681</v>
      </c>
      <c r="G557" s="302">
        <v>-0.22179379258928389</v>
      </c>
      <c r="H557" s="303">
        <v>28754.563966819998</v>
      </c>
      <c r="I557" s="298">
        <v>2703.9505798499999</v>
      </c>
      <c r="J557" s="298">
        <v>2445.71624681</v>
      </c>
      <c r="K557" s="302">
        <v>-9.5502608281518686E-2</v>
      </c>
      <c r="L557" s="298">
        <v>2434.6232361799998</v>
      </c>
      <c r="M557" s="298">
        <v>2017.9970859699999</v>
      </c>
      <c r="N557" s="298">
        <v>2525.0792182999999</v>
      </c>
      <c r="O557" s="306">
        <v>2615.8210065399999</v>
      </c>
      <c r="P557" s="306" cm="1">
        <f t="array" ref="P557">INDEX($E$302:$E$676, MATCH($B557, $B$302:$B$676, 0) * MATCH("Brazil", $A$302:$A$676, 0))</f>
        <v>125695.23434510001</v>
      </c>
      <c r="Q557" s="306">
        <f t="shared" si="41"/>
        <v>122552.47318036</v>
      </c>
      <c r="R557" s="336">
        <f>INDEX('Base GDP'!$A$1:$E$76,MATCH(A557,'Base GDP'!$A$1:$A$76,0),4)</f>
        <v>500331.50984029</v>
      </c>
      <c r="S557" s="336">
        <f>INDEX('Base GDP'!$A$1:$E$76,MATCH(A557,'Base GDP'!$A$1:$A$76,0),5)</f>
        <v>542439.84157398995</v>
      </c>
      <c r="T557" s="335">
        <f t="shared" si="42"/>
        <v>5.404317990512178E-3</v>
      </c>
      <c r="U557" s="335">
        <f t="shared" si="43"/>
        <v>4.5087326913769831E-3</v>
      </c>
      <c r="V557" s="335">
        <f t="shared" si="44"/>
        <v>-8.9558529913519487E-4</v>
      </c>
    </row>
    <row r="558" spans="1:22" x14ac:dyDescent="0.45">
      <c r="A558" s="293" t="s">
        <v>164</v>
      </c>
      <c r="B558" s="297" t="s">
        <v>7</v>
      </c>
      <c r="C558" s="293" t="str">
        <f t="shared" si="40"/>
        <v>MoroccoManufacture of motor vehicles, trailers and semi-trailers (C29)</v>
      </c>
      <c r="D558" s="297" t="s">
        <v>958</v>
      </c>
      <c r="E558" s="298">
        <v>1093.3212817599999</v>
      </c>
      <c r="F558" s="298">
        <v>1603.2818181499999</v>
      </c>
      <c r="G558" s="302">
        <v>0.46643246125153515</v>
      </c>
      <c r="H558" s="303">
        <v>30804.003849799999</v>
      </c>
      <c r="I558" s="298">
        <v>1330.19476274</v>
      </c>
      <c r="J558" s="298">
        <v>1603.2818181499999</v>
      </c>
      <c r="K558" s="302">
        <v>0.20529854955035454</v>
      </c>
      <c r="L558" s="298">
        <v>2131.7634194399998</v>
      </c>
      <c r="M558" s="298">
        <v>2363.1751210000002</v>
      </c>
      <c r="N558" s="298">
        <v>2318.2759838500001</v>
      </c>
      <c r="O558" s="306">
        <v>2785.1921599100001</v>
      </c>
      <c r="P558" s="306" cm="1">
        <f t="array" ref="P558">INDEX($E$302:$E$676, MATCH($B558, $B$302:$B$676, 0) * MATCH("Brazil", $A$302:$A$676, 0))</f>
        <v>125695.23434510001</v>
      </c>
      <c r="Q558" s="306">
        <f t="shared" si="41"/>
        <v>124601.91306334001</v>
      </c>
      <c r="R558" s="336">
        <f>INDEX('Base GDP'!$A$1:$E$76,MATCH(A558,'Base GDP'!$A$1:$A$76,0),4)</f>
        <v>115608.87885166</v>
      </c>
      <c r="S558" s="336">
        <f>INDEX('Base GDP'!$A$1:$E$76,MATCH(A558,'Base GDP'!$A$1:$A$76,0),5)</f>
        <v>129710.11086108</v>
      </c>
      <c r="T558" s="335">
        <f t="shared" si="42"/>
        <v>1.1505991373264668E-2</v>
      </c>
      <c r="U558" s="335">
        <f t="shared" si="43"/>
        <v>1.2360499944889575E-2</v>
      </c>
      <c r="V558" s="335">
        <f t="shared" si="44"/>
        <v>8.5450857162490748E-4</v>
      </c>
    </row>
    <row r="559" spans="1:22" x14ac:dyDescent="0.45">
      <c r="A559" s="293" t="s">
        <v>161</v>
      </c>
      <c r="B559" s="297" t="s">
        <v>7</v>
      </c>
      <c r="C559" s="293" t="str">
        <f t="shared" si="40"/>
        <v>PortugalManufacture of motor vehicles, trailers and semi-trailers (C29)</v>
      </c>
      <c r="D559" s="297" t="s">
        <v>958</v>
      </c>
      <c r="E559" s="298">
        <v>1109.53330951</v>
      </c>
      <c r="F559" s="298">
        <v>1467.9464676499999</v>
      </c>
      <c r="G559" s="302">
        <v>0.32303055263684244</v>
      </c>
      <c r="H559" s="303">
        <v>30787.79182205</v>
      </c>
      <c r="I559" s="298">
        <v>1392.8419550599999</v>
      </c>
      <c r="J559" s="298">
        <v>1467.9464676499999</v>
      </c>
      <c r="K559" s="302">
        <v>5.3921776492412477E-2</v>
      </c>
      <c r="L559" s="298">
        <v>1331.8036678399999</v>
      </c>
      <c r="M559" s="298">
        <v>1221.4068718599999</v>
      </c>
      <c r="N559" s="298">
        <v>1120.0091728299999</v>
      </c>
      <c r="O559" s="306">
        <v>1120.8256528300001</v>
      </c>
      <c r="P559" s="306" cm="1">
        <f t="array" ref="P559">INDEX($E$302:$E$676, MATCH($B559, $B$302:$B$676, 0) * MATCH("Brazil", $A$302:$A$676, 0))</f>
        <v>125695.23434510001</v>
      </c>
      <c r="Q559" s="306">
        <f t="shared" si="41"/>
        <v>124585.70103559</v>
      </c>
      <c r="R559" s="336">
        <f>INDEX('Base GDP'!$A$1:$E$76,MATCH(A559,'Base GDP'!$A$1:$A$76,0),4)</f>
        <v>215192.52938671</v>
      </c>
      <c r="S559" s="336">
        <f>INDEX('Base GDP'!$A$1:$E$76,MATCH(A559,'Base GDP'!$A$1:$A$76,0),5)</f>
        <v>232686.90641277001</v>
      </c>
      <c r="T559" s="335">
        <f t="shared" si="42"/>
        <v>6.4725386100974005E-3</v>
      </c>
      <c r="U559" s="335">
        <f t="shared" si="43"/>
        <v>6.3086767118987232E-3</v>
      </c>
      <c r="V559" s="335">
        <f t="shared" si="44"/>
        <v>-1.6386189819867728E-4</v>
      </c>
    </row>
    <row r="560" spans="1:22" x14ac:dyDescent="0.45">
      <c r="A560" s="293" t="s">
        <v>150</v>
      </c>
      <c r="B560" s="297" t="s">
        <v>7</v>
      </c>
      <c r="C560" s="293" t="str">
        <f t="shared" si="40"/>
        <v>PhilippinesManufacture of motor vehicles, trailers and semi-trailers (C29)</v>
      </c>
      <c r="D560" s="297" t="s">
        <v>958</v>
      </c>
      <c r="E560" s="298">
        <v>791.15104212000006</v>
      </c>
      <c r="F560" s="298">
        <v>1343.9659158699999</v>
      </c>
      <c r="G560" s="302">
        <v>0.69874757703491719</v>
      </c>
      <c r="H560" s="303">
        <v>31106.174089439999</v>
      </c>
      <c r="I560" s="298">
        <v>1071.39473959</v>
      </c>
      <c r="J560" s="298">
        <v>1343.9659158699999</v>
      </c>
      <c r="K560" s="302">
        <v>0.25440779780597689</v>
      </c>
      <c r="L560" s="298">
        <v>1542.4943736600001</v>
      </c>
      <c r="M560" s="298">
        <v>1687.2258198899999</v>
      </c>
      <c r="N560" s="298">
        <v>1861.13905845</v>
      </c>
      <c r="O560" s="306">
        <v>2329.5859323899999</v>
      </c>
      <c r="P560" s="306" cm="1">
        <f t="array" ref="P560">INDEX($E$302:$E$676, MATCH($B560, $B$302:$B$676, 0) * MATCH("Brazil", $A$302:$A$676, 0))</f>
        <v>125695.23434510001</v>
      </c>
      <c r="Q560" s="306">
        <f t="shared" si="41"/>
        <v>124904.08330298</v>
      </c>
      <c r="R560" s="336">
        <f>INDEX('Base GDP'!$A$1:$E$76,MATCH(A560,'Base GDP'!$A$1:$A$76,0),4)</f>
        <v>291518.00825125998</v>
      </c>
      <c r="S560" s="336">
        <f>INDEX('Base GDP'!$A$1:$E$76,MATCH(A560,'Base GDP'!$A$1:$A$76,0),5)</f>
        <v>360513.15606205998</v>
      </c>
      <c r="T560" s="335">
        <f t="shared" si="42"/>
        <v>3.6752266044112192E-3</v>
      </c>
      <c r="U560" s="335">
        <f t="shared" si="43"/>
        <v>3.7279247463541799E-3</v>
      </c>
      <c r="V560" s="335">
        <f t="shared" si="44"/>
        <v>5.2698141942960752E-5</v>
      </c>
    </row>
    <row r="561" spans="1:22" x14ac:dyDescent="0.45">
      <c r="A561" s="293" t="s">
        <v>107</v>
      </c>
      <c r="B561" s="297" t="s">
        <v>7</v>
      </c>
      <c r="C561" s="293" t="str">
        <f t="shared" si="40"/>
        <v>IranManufacture of motor vehicles, trailers and semi-trailers (C29)</v>
      </c>
      <c r="D561" s="297" t="s">
        <v>958</v>
      </c>
      <c r="E561" s="298">
        <v>1295.7028159199999</v>
      </c>
      <c r="F561" s="298">
        <v>1244.5916596699999</v>
      </c>
      <c r="G561" s="302">
        <v>-3.9446666027123767E-2</v>
      </c>
      <c r="H561" s="303">
        <v>30601.622315640001</v>
      </c>
      <c r="I561" s="298">
        <v>1210.1743990699999</v>
      </c>
      <c r="J561" s="298">
        <v>1244.5916596699999</v>
      </c>
      <c r="K561" s="302">
        <v>2.8439917937818748E-2</v>
      </c>
      <c r="L561" s="298">
        <v>1441.7875366599999</v>
      </c>
      <c r="M561" s="298">
        <v>1486.9700751400001</v>
      </c>
      <c r="N561" s="298">
        <v>1465.1605279299999</v>
      </c>
      <c r="O561" s="306">
        <v>1447.20022455</v>
      </c>
      <c r="P561" s="306" cm="1">
        <f t="array" ref="P561">INDEX($E$302:$E$676, MATCH($B561, $B$302:$B$676, 0) * MATCH("Brazil", $A$302:$A$676, 0))</f>
        <v>125695.23434510001</v>
      </c>
      <c r="Q561" s="306">
        <f t="shared" si="41"/>
        <v>124399.53152918001</v>
      </c>
      <c r="R561" s="336">
        <f>INDEX('Base GDP'!$A$1:$E$76,MATCH(A561,'Base GDP'!$A$1:$A$76,0),4)</f>
        <v>195024.47923529</v>
      </c>
      <c r="S561" s="336">
        <f>INDEX('Base GDP'!$A$1:$E$76,MATCH(A561,'Base GDP'!$A$1:$A$76,0),5)</f>
        <v>224406.94908081999</v>
      </c>
      <c r="T561" s="335">
        <f t="shared" si="42"/>
        <v>6.2052435869343779E-3</v>
      </c>
      <c r="U561" s="335">
        <f t="shared" si="43"/>
        <v>5.5461368944584744E-3</v>
      </c>
      <c r="V561" s="335">
        <f t="shared" si="44"/>
        <v>-6.5910669247590346E-4</v>
      </c>
    </row>
    <row r="562" spans="1:22" x14ac:dyDescent="0.45">
      <c r="A562" s="293" t="s">
        <v>147</v>
      </c>
      <c r="B562" s="297" t="s">
        <v>7</v>
      </c>
      <c r="C562" s="293" t="str">
        <f t="shared" si="40"/>
        <v>PeruManufacture of motor vehicles, trailers and semi-trailers (C29)</v>
      </c>
      <c r="D562" s="297" t="s">
        <v>958</v>
      </c>
      <c r="E562" s="298">
        <v>629.23250459999997</v>
      </c>
      <c r="F562" s="298">
        <v>924.22557746999996</v>
      </c>
      <c r="G562" s="302">
        <v>0.46881410402904344</v>
      </c>
      <c r="H562" s="303">
        <v>31268.092626959999</v>
      </c>
      <c r="I562" s="298">
        <v>748.18180552000001</v>
      </c>
      <c r="J562" s="298">
        <v>924.22557746999996</v>
      </c>
      <c r="K562" s="302">
        <v>0.23529544644252121</v>
      </c>
      <c r="L562" s="298">
        <v>891.93832442999997</v>
      </c>
      <c r="M562" s="298">
        <v>964.67764369999998</v>
      </c>
      <c r="N562" s="298">
        <v>1012.30993689</v>
      </c>
      <c r="O562" s="306">
        <v>1075.4259805300001</v>
      </c>
      <c r="P562" s="306" cm="1">
        <f t="array" ref="P562">INDEX($E$302:$E$676, MATCH($B562, $B$302:$B$676, 0) * MATCH("Brazil", $A$302:$A$676, 0))</f>
        <v>125695.23434510001</v>
      </c>
      <c r="Q562" s="306">
        <f t="shared" si="41"/>
        <v>125066.0018405</v>
      </c>
      <c r="R562" s="336">
        <f>INDEX('Base GDP'!$A$1:$E$76,MATCH(A562,'Base GDP'!$A$1:$A$76,0),4)</f>
        <v>205342.67167914001</v>
      </c>
      <c r="S562" s="336">
        <f>INDEX('Base GDP'!$A$1:$E$76,MATCH(A562,'Base GDP'!$A$1:$A$76,0),5)</f>
        <v>235110.76142220001</v>
      </c>
      <c r="T562" s="335">
        <f t="shared" si="42"/>
        <v>3.6435768532761571E-3</v>
      </c>
      <c r="U562" s="335">
        <f t="shared" si="43"/>
        <v>3.9310220080072062E-3</v>
      </c>
      <c r="V562" s="335">
        <f t="shared" si="44"/>
        <v>2.8744515473104904E-4</v>
      </c>
    </row>
    <row r="563" spans="1:22" x14ac:dyDescent="0.45">
      <c r="A563" s="293" t="s">
        <v>154</v>
      </c>
      <c r="B563" s="297" t="s">
        <v>7</v>
      </c>
      <c r="C563" s="293" t="str">
        <f t="shared" si="40"/>
        <v>PakistanManufacture of motor vehicles, trailers and semi-trailers (C29)</v>
      </c>
      <c r="D563" s="297" t="s">
        <v>958</v>
      </c>
      <c r="E563" s="298">
        <v>529.42291221999994</v>
      </c>
      <c r="F563" s="298">
        <v>820.22891150999999</v>
      </c>
      <c r="G563" s="302">
        <v>0.54928865483093525</v>
      </c>
      <c r="H563" s="303">
        <v>31367.902219339998</v>
      </c>
      <c r="I563" s="298">
        <v>697.08157228000005</v>
      </c>
      <c r="J563" s="298">
        <v>820.22891150999999</v>
      </c>
      <c r="K563" s="302">
        <v>0.17666130353613019</v>
      </c>
      <c r="L563" s="298">
        <v>877.36844437000002</v>
      </c>
      <c r="M563" s="298">
        <v>1130.47427356</v>
      </c>
      <c r="N563" s="298">
        <v>1278.01809108</v>
      </c>
      <c r="O563" s="306">
        <v>1628.4119550099999</v>
      </c>
      <c r="P563" s="306" cm="1">
        <f t="array" ref="P563">INDEX($E$302:$E$676, MATCH($B563, $B$302:$B$676, 0) * MATCH("Brazil", $A$302:$A$676, 0))</f>
        <v>125695.23434510001</v>
      </c>
      <c r="Q563" s="306">
        <f t="shared" si="41"/>
        <v>125165.81143288</v>
      </c>
      <c r="R563" s="336">
        <f>INDEX('Base GDP'!$A$1:$E$76,MATCH(A563,'Base GDP'!$A$1:$A$76,0),4)</f>
        <v>243681.57424943999</v>
      </c>
      <c r="S563" s="336">
        <f>INDEX('Base GDP'!$A$1:$E$76,MATCH(A563,'Base GDP'!$A$1:$A$76,0),5)</f>
        <v>307178.14587732003</v>
      </c>
      <c r="T563" s="335">
        <f t="shared" si="42"/>
        <v>2.8606248725496406E-3</v>
      </c>
      <c r="U563" s="335">
        <f t="shared" si="43"/>
        <v>2.6702059456976501E-3</v>
      </c>
      <c r="V563" s="335">
        <f t="shared" si="44"/>
        <v>-1.9041892685199048E-4</v>
      </c>
    </row>
    <row r="564" spans="1:22" x14ac:dyDescent="0.45">
      <c r="A564" s="293" t="s">
        <v>146</v>
      </c>
      <c r="B564" s="297" t="s">
        <v>7</v>
      </c>
      <c r="C564" s="293" t="str">
        <f t="shared" si="40"/>
        <v>EgyptManufacture of motor vehicles, trailers and semi-trailers (C29)</v>
      </c>
      <c r="D564" s="297" t="s">
        <v>958</v>
      </c>
      <c r="E564" s="298">
        <v>467.00509657999999</v>
      </c>
      <c r="F564" s="298">
        <v>798.25834529999997</v>
      </c>
      <c r="G564" s="302">
        <v>0.70931399067345047</v>
      </c>
      <c r="H564" s="303">
        <v>31430.320034979999</v>
      </c>
      <c r="I564" s="298">
        <v>588.57427213999995</v>
      </c>
      <c r="J564" s="298">
        <v>798.25834529999997</v>
      </c>
      <c r="K564" s="302">
        <v>0.356257626412396</v>
      </c>
      <c r="L564" s="298">
        <v>772.06448581999996</v>
      </c>
      <c r="M564" s="298">
        <v>936.19036167000002</v>
      </c>
      <c r="N564" s="298">
        <v>920.53129183999999</v>
      </c>
      <c r="O564" s="306">
        <v>971.59024396999996</v>
      </c>
      <c r="P564" s="306" cm="1">
        <f t="array" ref="P564">INDEX($E$302:$E$676, MATCH($B564, $B$302:$B$676, 0) * MATCH("Brazil", $A$302:$A$676, 0))</f>
        <v>125695.23434510001</v>
      </c>
      <c r="Q564" s="306">
        <f t="shared" si="41"/>
        <v>125228.22924852</v>
      </c>
      <c r="R564" s="336">
        <f>INDEX('Base GDP'!$A$1:$E$76,MATCH(A564,'Base GDP'!$A$1:$A$76,0),4)</f>
        <v>276522.47435759002</v>
      </c>
      <c r="S564" s="336">
        <f>INDEX('Base GDP'!$A$1:$E$76,MATCH(A564,'Base GDP'!$A$1:$A$76,0),5)</f>
        <v>357883.01385108999</v>
      </c>
      <c r="T564" s="335">
        <f t="shared" si="42"/>
        <v>2.1284862053522441E-3</v>
      </c>
      <c r="U564" s="335">
        <f t="shared" si="43"/>
        <v>2.2305007904961476E-3</v>
      </c>
      <c r="V564" s="335">
        <f t="shared" si="44"/>
        <v>1.0201458514390348E-4</v>
      </c>
    </row>
    <row r="565" spans="1:22" x14ac:dyDescent="0.45">
      <c r="A565" s="293" t="s">
        <v>126</v>
      </c>
      <c r="B565" s="297" t="s">
        <v>7</v>
      </c>
      <c r="C565" s="293" t="str">
        <f t="shared" si="40"/>
        <v>FinlandManufacture of motor vehicles, trailers and semi-trailers (C29)</v>
      </c>
      <c r="D565" s="297" t="s">
        <v>958</v>
      </c>
      <c r="E565" s="298">
        <v>464.78265332000001</v>
      </c>
      <c r="F565" s="298">
        <v>780.62308525000003</v>
      </c>
      <c r="G565" s="302">
        <v>0.67954436266911578</v>
      </c>
      <c r="H565" s="303">
        <v>31432.54247824</v>
      </c>
      <c r="I565" s="298">
        <v>555.91648190000001</v>
      </c>
      <c r="J565" s="298">
        <v>780.62308525000003</v>
      </c>
      <c r="K565" s="302">
        <v>0.40420928442704618</v>
      </c>
      <c r="L565" s="298">
        <v>390.79787786000003</v>
      </c>
      <c r="M565" s="298">
        <v>392.82764298000001</v>
      </c>
      <c r="N565" s="298">
        <v>393.97910452000002</v>
      </c>
      <c r="O565" s="306">
        <v>458.38812615000001</v>
      </c>
      <c r="P565" s="306" cm="1">
        <f t="array" ref="P565">INDEX($E$302:$E$676, MATCH($B565, $B$302:$B$676, 0) * MATCH("Brazil", $A$302:$A$676, 0))</f>
        <v>125695.23434510001</v>
      </c>
      <c r="Q565" s="306">
        <f t="shared" si="41"/>
        <v>125230.45169178001</v>
      </c>
      <c r="R565" s="336">
        <f>INDEX('Base GDP'!$A$1:$E$76,MATCH(A565,'Base GDP'!$A$1:$A$76,0),4)</f>
        <v>247207.29862345001</v>
      </c>
      <c r="S565" s="336">
        <f>INDEX('Base GDP'!$A$1:$E$76,MATCH(A565,'Base GDP'!$A$1:$A$76,0),5)</f>
        <v>270499.52733732999</v>
      </c>
      <c r="T565" s="335">
        <f t="shared" si="42"/>
        <v>2.2487866862975618E-3</v>
      </c>
      <c r="U565" s="335">
        <f t="shared" si="43"/>
        <v>2.8858574835013066E-3</v>
      </c>
      <c r="V565" s="335">
        <f t="shared" si="44"/>
        <v>6.3707079720374486E-4</v>
      </c>
    </row>
    <row r="566" spans="1:22" x14ac:dyDescent="0.45">
      <c r="A566" s="293" t="s">
        <v>67</v>
      </c>
      <c r="B566" s="297" t="s">
        <v>7</v>
      </c>
      <c r="C566" s="293" t="str">
        <f t="shared" si="40"/>
        <v>SwitzerlandManufacture of motor vehicles, trailers and semi-trailers (C29)</v>
      </c>
      <c r="D566" s="297" t="s">
        <v>958</v>
      </c>
      <c r="E566" s="298">
        <v>724.65286268</v>
      </c>
      <c r="F566" s="298">
        <v>730.92188512999996</v>
      </c>
      <c r="G566" s="302">
        <v>8.651069736777206E-3</v>
      </c>
      <c r="H566" s="303">
        <v>31172.67226888</v>
      </c>
      <c r="I566" s="298">
        <v>672.60501696999995</v>
      </c>
      <c r="J566" s="298">
        <v>730.92188512999996</v>
      </c>
      <c r="K566" s="302">
        <v>8.6702993121743344E-2</v>
      </c>
      <c r="L566" s="298">
        <v>814.33941317999995</v>
      </c>
      <c r="M566" s="298">
        <v>845.18094609000002</v>
      </c>
      <c r="N566" s="298">
        <v>837.17082413000003</v>
      </c>
      <c r="O566" s="306">
        <v>849.93285182</v>
      </c>
      <c r="P566" s="306" cm="1">
        <f t="array" ref="P566">INDEX($E$302:$E$676, MATCH($B566, $B$302:$B$676, 0) * MATCH("Brazil", $A$302:$A$676, 0))</f>
        <v>125695.23434510001</v>
      </c>
      <c r="Q566" s="306">
        <f t="shared" si="41"/>
        <v>124970.58148242001</v>
      </c>
      <c r="R566" s="336">
        <f>INDEX('Base GDP'!$A$1:$E$76,MATCH(A566,'Base GDP'!$A$1:$A$76,0),4)</f>
        <v>669989.49931316997</v>
      </c>
      <c r="S566" s="336">
        <f>INDEX('Base GDP'!$A$1:$E$76,MATCH(A566,'Base GDP'!$A$1:$A$76,0),5)</f>
        <v>743458.79269773001</v>
      </c>
      <c r="T566" s="335">
        <f t="shared" si="42"/>
        <v>1.0039038188800141E-3</v>
      </c>
      <c r="U566" s="335">
        <f t="shared" si="43"/>
        <v>9.8313705118445319E-4</v>
      </c>
      <c r="V566" s="335">
        <f t="shared" si="44"/>
        <v>-2.0766767695560955E-5</v>
      </c>
    </row>
    <row r="567" spans="1:22" x14ac:dyDescent="0.45">
      <c r="A567" s="293" t="s">
        <v>105</v>
      </c>
      <c r="B567" s="297" t="s">
        <v>7</v>
      </c>
      <c r="C567" s="293" t="str">
        <f t="shared" si="40"/>
        <v>Saudi ArabiaManufacture of motor vehicles, trailers and semi-trailers (C29)</v>
      </c>
      <c r="D567" s="297" t="s">
        <v>958</v>
      </c>
      <c r="E567" s="298">
        <v>524.13050399999997</v>
      </c>
      <c r="F567" s="298">
        <v>718.38025944000003</v>
      </c>
      <c r="G567" s="302">
        <v>0.37061333762783644</v>
      </c>
      <c r="H567" s="303">
        <v>31373.194627559998</v>
      </c>
      <c r="I567" s="298">
        <v>662.94607931999997</v>
      </c>
      <c r="J567" s="298">
        <v>718.38025944000003</v>
      </c>
      <c r="K567" s="302">
        <v>8.3617931909123477E-2</v>
      </c>
      <c r="L567" s="298">
        <v>862.47538314999997</v>
      </c>
      <c r="M567" s="298">
        <v>967.03252286999998</v>
      </c>
      <c r="N567" s="298">
        <v>1084.36964169</v>
      </c>
      <c r="O567" s="306">
        <v>1330.79773727</v>
      </c>
      <c r="P567" s="306" cm="1">
        <f t="array" ref="P567">INDEX($E$302:$E$676, MATCH($B567, $B$302:$B$676, 0) * MATCH("Brazil", $A$302:$A$676, 0))</f>
        <v>125695.23434510001</v>
      </c>
      <c r="Q567" s="306">
        <f t="shared" si="41"/>
        <v>125171.1038411</v>
      </c>
      <c r="R567" s="336">
        <f>INDEX('Base GDP'!$A$1:$E$76,MATCH(A567,'Base GDP'!$A$1:$A$76,0),4)</f>
        <v>791157.39281293005</v>
      </c>
      <c r="S567" s="336">
        <f>INDEX('Base GDP'!$A$1:$E$76,MATCH(A567,'Base GDP'!$A$1:$A$76,0),5)</f>
        <v>836861.61444072996</v>
      </c>
      <c r="T567" s="335">
        <f t="shared" si="42"/>
        <v>8.3794461802716696E-4</v>
      </c>
      <c r="U567" s="335">
        <f t="shared" si="43"/>
        <v>8.5842180719459768E-4</v>
      </c>
      <c r="V567" s="335">
        <f t="shared" si="44"/>
        <v>2.0477189167430717E-5</v>
      </c>
    </row>
    <row r="568" spans="1:22" x14ac:dyDescent="0.45">
      <c r="A568" s="293" t="s">
        <v>152</v>
      </c>
      <c r="B568" s="297" t="s">
        <v>7</v>
      </c>
      <c r="C568" s="293" t="str">
        <f t="shared" si="40"/>
        <v>ColombiaManufacture of motor vehicles, trailers and semi-trailers (C29)</v>
      </c>
      <c r="D568" s="297" t="s">
        <v>958</v>
      </c>
      <c r="E568" s="298">
        <v>556.00498488999995</v>
      </c>
      <c r="F568" s="298">
        <v>654.99167657999999</v>
      </c>
      <c r="G568" s="302">
        <v>0.17803202197833445</v>
      </c>
      <c r="H568" s="303">
        <v>31341.320146669997</v>
      </c>
      <c r="I568" s="298">
        <v>633.43224683999995</v>
      </c>
      <c r="J568" s="298">
        <v>654.99167657999999</v>
      </c>
      <c r="K568" s="302">
        <v>3.4035889153975818E-2</v>
      </c>
      <c r="L568" s="298">
        <v>913.97040319999996</v>
      </c>
      <c r="M568" s="298">
        <v>1097.9194094100001</v>
      </c>
      <c r="N568" s="298">
        <v>1198.9771655899999</v>
      </c>
      <c r="O568" s="306">
        <v>1408.6078362600001</v>
      </c>
      <c r="P568" s="306" cm="1">
        <f t="array" ref="P568">INDEX($E$302:$E$676, MATCH($B568, $B$302:$B$676, 0) * MATCH("Brazil", $A$302:$A$676, 0))</f>
        <v>125695.23434510001</v>
      </c>
      <c r="Q568" s="306">
        <f t="shared" si="41"/>
        <v>125139.22936021001</v>
      </c>
      <c r="R568" s="336">
        <f>INDEX('Base GDP'!$A$1:$E$76,MATCH(A568,'Base GDP'!$A$1:$A$76,0),4)</f>
        <v>295018.32730579999</v>
      </c>
      <c r="S568" s="336">
        <f>INDEX('Base GDP'!$A$1:$E$76,MATCH(A568,'Base GDP'!$A$1:$A$76,0),5)</f>
        <v>332655.81031924998</v>
      </c>
      <c r="T568" s="335">
        <f t="shared" si="42"/>
        <v>2.1470945640045557E-3</v>
      </c>
      <c r="U568" s="335">
        <f t="shared" si="43"/>
        <v>1.9689771116620631E-3</v>
      </c>
      <c r="V568" s="335">
        <f t="shared" si="44"/>
        <v>-1.7811745234249266E-4</v>
      </c>
    </row>
    <row r="569" spans="1:22" x14ac:dyDescent="0.45">
      <c r="A569" s="293" t="s">
        <v>159</v>
      </c>
      <c r="B569" s="297" t="s">
        <v>7</v>
      </c>
      <c r="C569" s="293" t="str">
        <f t="shared" si="40"/>
        <v>KuwaitManufacture of motor vehicles, trailers and semi-trailers (C29)</v>
      </c>
      <c r="D569" s="297" t="s">
        <v>958</v>
      </c>
      <c r="E569" s="298">
        <v>743.51042961999997</v>
      </c>
      <c r="F569" s="298">
        <v>603.20873628000004</v>
      </c>
      <c r="G569" s="302">
        <v>-0.18870171520217494</v>
      </c>
      <c r="H569" s="303">
        <v>31153.814701939998</v>
      </c>
      <c r="I569" s="298">
        <v>729.50554082999997</v>
      </c>
      <c r="J569" s="298">
        <v>603.20873628000004</v>
      </c>
      <c r="K569" s="302">
        <v>-0.17312658709391693</v>
      </c>
      <c r="L569" s="298">
        <v>705.41575229</v>
      </c>
      <c r="M569" s="298">
        <v>732.38223301000005</v>
      </c>
      <c r="N569" s="298">
        <v>736.26773314000002</v>
      </c>
      <c r="O569" s="306">
        <v>744.52425786000003</v>
      </c>
      <c r="P569" s="306" cm="1">
        <f t="array" ref="P569">INDEX($E$302:$E$676, MATCH($B569, $B$302:$B$676, 0) * MATCH("Brazil", $A$302:$A$676, 0))</f>
        <v>125695.23434510001</v>
      </c>
      <c r="Q569" s="306">
        <f t="shared" si="41"/>
        <v>124951.72391548</v>
      </c>
      <c r="R569" s="336">
        <f>INDEX('Base GDP'!$A$1:$E$76,MATCH(A569,'Base GDP'!$A$1:$A$76,0),4)</f>
        <v>136318.13330372999</v>
      </c>
      <c r="S569" s="336">
        <f>INDEX('Base GDP'!$A$1:$E$76,MATCH(A569,'Base GDP'!$A$1:$A$76,0),5)</f>
        <v>128320.86664452001</v>
      </c>
      <c r="T569" s="335">
        <f t="shared" si="42"/>
        <v>5.3514930343462894E-3</v>
      </c>
      <c r="U569" s="335">
        <f t="shared" si="43"/>
        <v>4.7007844636136609E-3</v>
      </c>
      <c r="V569" s="335">
        <f t="shared" si="44"/>
        <v>-6.5070857073262853E-4</v>
      </c>
    </row>
    <row r="570" spans="1:22" x14ac:dyDescent="0.45">
      <c r="A570" s="293" t="s">
        <v>149</v>
      </c>
      <c r="B570" s="297" t="s">
        <v>7</v>
      </c>
      <c r="C570" s="293" t="str">
        <f t="shared" si="40"/>
        <v>UkraineManufacture of motor vehicles, trailers and semi-trailers (C29)</v>
      </c>
      <c r="D570" s="297" t="s">
        <v>958</v>
      </c>
      <c r="E570" s="298">
        <v>521.29185510000002</v>
      </c>
      <c r="F570" s="298">
        <v>497.84344338</v>
      </c>
      <c r="G570" s="302">
        <v>-4.4981350639944129E-2</v>
      </c>
      <c r="H570" s="303">
        <v>31376.033276459999</v>
      </c>
      <c r="I570" s="298">
        <v>445.4406912</v>
      </c>
      <c r="J570" s="298">
        <v>497.84344338</v>
      </c>
      <c r="K570" s="302">
        <v>0.11764249026919615</v>
      </c>
      <c r="L570" s="298">
        <v>330.69432230000001</v>
      </c>
      <c r="M570" s="298">
        <v>374.63263001000001</v>
      </c>
      <c r="N570" s="298">
        <v>398.96571394</v>
      </c>
      <c r="O570" s="306">
        <v>409.11505252000001</v>
      </c>
      <c r="P570" s="306" cm="1">
        <f t="array" ref="P570">INDEX($E$302:$E$676, MATCH($B570, $B$302:$B$676, 0) * MATCH("Brazil", $A$302:$A$676, 0))</f>
        <v>125695.23434510001</v>
      </c>
      <c r="Q570" s="306">
        <f t="shared" si="41"/>
        <v>125173.94249</v>
      </c>
      <c r="R570" s="336">
        <f>INDEX('Base GDP'!$A$1:$E$76,MATCH(A570,'Base GDP'!$A$1:$A$76,0),4)</f>
        <v>137743.94890503999</v>
      </c>
      <c r="S570" s="336">
        <f>INDEX('Base GDP'!$A$1:$E$76,MATCH(A570,'Base GDP'!$A$1:$A$76,0),5)</f>
        <v>153275.23415388001</v>
      </c>
      <c r="T570" s="335">
        <f t="shared" si="42"/>
        <v>3.2338312843570695E-3</v>
      </c>
      <c r="U570" s="335">
        <f t="shared" si="43"/>
        <v>3.2480357712596428E-3</v>
      </c>
      <c r="V570" s="335">
        <f t="shared" si="44"/>
        <v>1.4204486902573248E-5</v>
      </c>
    </row>
    <row r="571" spans="1:22" x14ac:dyDescent="0.45">
      <c r="A571" s="293" t="s">
        <v>120</v>
      </c>
      <c r="B571" s="297" t="s">
        <v>7</v>
      </c>
      <c r="C571" s="293" t="str">
        <f t="shared" si="40"/>
        <v>AustraliaManufacture of motor vehicles, trailers and semi-trailers (C29)</v>
      </c>
      <c r="D571" s="297" t="s">
        <v>958</v>
      </c>
      <c r="E571" s="298">
        <v>684.63902384000005</v>
      </c>
      <c r="F571" s="298">
        <v>452.83491507000002</v>
      </c>
      <c r="G571" s="302">
        <v>-0.33857858038803901</v>
      </c>
      <c r="H571" s="303">
        <v>31212.686107719997</v>
      </c>
      <c r="I571" s="298">
        <v>576.03035566000005</v>
      </c>
      <c r="J571" s="298">
        <v>452.83491507000002</v>
      </c>
      <c r="K571" s="302">
        <v>-0.21386970214242618</v>
      </c>
      <c r="L571" s="298">
        <v>523.34275713</v>
      </c>
      <c r="M571" s="298">
        <v>589.60306544000002</v>
      </c>
      <c r="N571" s="298">
        <v>657.25872508999998</v>
      </c>
      <c r="O571" s="306">
        <v>754.41588307999996</v>
      </c>
      <c r="P571" s="306" cm="1">
        <f t="array" ref="P571">INDEX($E$302:$E$676, MATCH($B571, $B$302:$B$676, 0) * MATCH("Brazil", $A$302:$A$676, 0))</f>
        <v>125695.23434510001</v>
      </c>
      <c r="Q571" s="306">
        <f t="shared" si="41"/>
        <v>125010.59532126</v>
      </c>
      <c r="R571" s="336">
        <f>INDEX('Base GDP'!$A$1:$E$76,MATCH(A571,'Base GDP'!$A$1:$A$76,0),4)</f>
        <v>1256563.3075111001</v>
      </c>
      <c r="S571" s="336">
        <f>INDEX('Base GDP'!$A$1:$E$76,MATCH(A571,'Base GDP'!$A$1:$A$76,0),5)</f>
        <v>1430586.2916371</v>
      </c>
      <c r="T571" s="335">
        <f t="shared" si="42"/>
        <v>4.5841729757409105E-4</v>
      </c>
      <c r="U571" s="335">
        <f t="shared" si="43"/>
        <v>3.165379940498351E-4</v>
      </c>
      <c r="V571" s="335">
        <f t="shared" si="44"/>
        <v>-1.4187930352425594E-4</v>
      </c>
    </row>
    <row r="572" spans="1:22" x14ac:dyDescent="0.45">
      <c r="A572" s="293" t="s">
        <v>102</v>
      </c>
      <c r="B572" s="297" t="s">
        <v>7</v>
      </c>
      <c r="C572" s="293" t="str">
        <f t="shared" si="40"/>
        <v>NigeriaManufacture of motor vehicles, trailers and semi-trailers (C29)</v>
      </c>
      <c r="D572" s="297" t="s">
        <v>958</v>
      </c>
      <c r="E572" s="298">
        <v>200.35679758000001</v>
      </c>
      <c r="F572" s="298">
        <v>381.72623198000002</v>
      </c>
      <c r="G572" s="302">
        <v>0.90523224862176899</v>
      </c>
      <c r="H572" s="303">
        <v>31696.968333979999</v>
      </c>
      <c r="I572" s="298">
        <v>473.65894972000001</v>
      </c>
      <c r="J572" s="298">
        <v>381.72623198000002</v>
      </c>
      <c r="K572" s="302">
        <v>-0.19409053242706664</v>
      </c>
      <c r="L572" s="298">
        <v>433.92211516999998</v>
      </c>
      <c r="M572" s="298">
        <v>485.42220804999999</v>
      </c>
      <c r="N572" s="298">
        <v>533.64670625999997</v>
      </c>
      <c r="O572" s="306">
        <v>653.85512668000001</v>
      </c>
      <c r="P572" s="306" cm="1">
        <f t="array" ref="P572">INDEX($E$302:$E$676, MATCH($B572, $B$302:$B$676, 0) * MATCH("Brazil", $A$302:$A$676, 0))</f>
        <v>125695.23434510001</v>
      </c>
      <c r="Q572" s="306">
        <f t="shared" si="41"/>
        <v>125494.87754752001</v>
      </c>
      <c r="R572" s="336">
        <f>INDEX('Base GDP'!$A$1:$E$76,MATCH(A572,'Base GDP'!$A$1:$A$76,0),4)</f>
        <v>460034.71302222001</v>
      </c>
      <c r="S572" s="336">
        <f>INDEX('Base GDP'!$A$1:$E$76,MATCH(A572,'Base GDP'!$A$1:$A$76,0),5)</f>
        <v>483780.49839321</v>
      </c>
      <c r="T572" s="335">
        <f t="shared" si="42"/>
        <v>1.0296156709746422E-3</v>
      </c>
      <c r="U572" s="335">
        <f t="shared" si="43"/>
        <v>7.8904840779617019E-4</v>
      </c>
      <c r="V572" s="335">
        <f t="shared" si="44"/>
        <v>-2.4056726317847198E-4</v>
      </c>
    </row>
    <row r="573" spans="1:22" x14ac:dyDescent="0.45">
      <c r="A573" s="293" t="s">
        <v>163</v>
      </c>
      <c r="B573" s="297" t="s">
        <v>7</v>
      </c>
      <c r="C573" s="293" t="str">
        <f t="shared" si="40"/>
        <v>New ZealandManufacture of motor vehicles, trailers and semi-trailers (C29)</v>
      </c>
      <c r="D573" s="297" t="s">
        <v>958</v>
      </c>
      <c r="E573" s="298">
        <v>351.74067843</v>
      </c>
      <c r="F573" s="298">
        <v>380.54646174999999</v>
      </c>
      <c r="G573" s="302">
        <v>8.1894944447639784E-2</v>
      </c>
      <c r="H573" s="303">
        <v>31545.584453129999</v>
      </c>
      <c r="I573" s="298">
        <v>347.13518049999999</v>
      </c>
      <c r="J573" s="298">
        <v>380.54646174999999</v>
      </c>
      <c r="K573" s="302">
        <v>9.6248617618864385E-2</v>
      </c>
      <c r="L573" s="298">
        <v>343.83090113999998</v>
      </c>
      <c r="M573" s="298">
        <v>359.17339909999998</v>
      </c>
      <c r="N573" s="298">
        <v>356.06524926999998</v>
      </c>
      <c r="O573" s="306">
        <v>343.11699759999999</v>
      </c>
      <c r="P573" s="306" cm="1">
        <f t="array" ref="P573">INDEX($E$302:$E$676, MATCH($B573, $B$302:$B$676, 0) * MATCH("Brazil", $A$302:$A$676, 0))</f>
        <v>125695.23434510001</v>
      </c>
      <c r="Q573" s="306">
        <f t="shared" si="41"/>
        <v>125343.49366667001</v>
      </c>
      <c r="R573" s="336">
        <f>INDEX('Base GDP'!$A$1:$E$76,MATCH(A573,'Base GDP'!$A$1:$A$76,0),4)</f>
        <v>180884.85070677</v>
      </c>
      <c r="S573" s="336">
        <f>INDEX('Base GDP'!$A$1:$E$76,MATCH(A573,'Base GDP'!$A$1:$A$76,0),5)</f>
        <v>220909.49174857</v>
      </c>
      <c r="T573" s="335">
        <f t="shared" si="42"/>
        <v>1.9190948227208711E-3</v>
      </c>
      <c r="U573" s="335">
        <f t="shared" si="43"/>
        <v>1.7226351784970931E-3</v>
      </c>
      <c r="V573" s="335">
        <f t="shared" si="44"/>
        <v>-1.9645964422377801E-4</v>
      </c>
    </row>
    <row r="574" spans="1:22" x14ac:dyDescent="0.45">
      <c r="A574" s="293" t="s">
        <v>143</v>
      </c>
      <c r="B574" s="297" t="s">
        <v>7</v>
      </c>
      <c r="C574" s="293" t="str">
        <f t="shared" si="40"/>
        <v>United Arab EmiratesManufacture of motor vehicles, trailers and semi-trailers (C29)</v>
      </c>
      <c r="D574" s="297" t="s">
        <v>958</v>
      </c>
      <c r="E574" s="298">
        <v>336.40529025000001</v>
      </c>
      <c r="F574" s="298">
        <v>376.26299039999998</v>
      </c>
      <c r="G574" s="302">
        <v>0.11848119308819327</v>
      </c>
      <c r="H574" s="303">
        <v>31560.919841309998</v>
      </c>
      <c r="I574" s="298">
        <v>401.67846787000002</v>
      </c>
      <c r="J574" s="298">
        <v>376.26299039999998</v>
      </c>
      <c r="K574" s="302">
        <v>-6.3273188639590083E-2</v>
      </c>
      <c r="L574" s="298">
        <v>514.17479401000003</v>
      </c>
      <c r="M574" s="298">
        <v>574.18311674999995</v>
      </c>
      <c r="N574" s="298">
        <v>621.85495834000005</v>
      </c>
      <c r="O574" s="306">
        <v>742.58326320000003</v>
      </c>
      <c r="P574" s="306" cm="1">
        <f t="array" ref="P574">INDEX($E$302:$E$676, MATCH($B574, $B$302:$B$676, 0) * MATCH("Brazil", $A$302:$A$676, 0))</f>
        <v>125695.23434510001</v>
      </c>
      <c r="Q574" s="306">
        <f t="shared" si="41"/>
        <v>125358.82905485001</v>
      </c>
      <c r="R574" s="336">
        <f>INDEX('Base GDP'!$A$1:$E$76,MATCH(A574,'Base GDP'!$A$1:$A$76,0),4)</f>
        <v>383753.13090967003</v>
      </c>
      <c r="S574" s="336">
        <f>INDEX('Base GDP'!$A$1:$E$76,MATCH(A574,'Base GDP'!$A$1:$A$76,0),5)</f>
        <v>414599.77007557999</v>
      </c>
      <c r="T574" s="335">
        <f t="shared" si="42"/>
        <v>1.0467105946936218E-3</v>
      </c>
      <c r="U574" s="335">
        <f t="shared" si="43"/>
        <v>9.0753304164015484E-4</v>
      </c>
      <c r="V574" s="335">
        <f t="shared" si="44"/>
        <v>-1.3917755305346694E-4</v>
      </c>
    </row>
    <row r="575" spans="1:22" x14ac:dyDescent="0.45">
      <c r="A575" s="293" t="s">
        <v>116</v>
      </c>
      <c r="B575" s="297" t="s">
        <v>7</v>
      </c>
      <c r="C575" s="293" t="str">
        <f t="shared" si="40"/>
        <v>DenmarkManufacture of motor vehicles, trailers and semi-trailers (C29)</v>
      </c>
      <c r="D575" s="297" t="s">
        <v>958</v>
      </c>
      <c r="E575" s="298">
        <v>313.55339960999999</v>
      </c>
      <c r="F575" s="298">
        <v>373.00866894000001</v>
      </c>
      <c r="G575" s="302">
        <v>0.18961768363523057</v>
      </c>
      <c r="H575" s="303">
        <v>31583.771731950001</v>
      </c>
      <c r="I575" s="298">
        <v>342.03437881000002</v>
      </c>
      <c r="J575" s="298">
        <v>373.00866894000001</v>
      </c>
      <c r="K575" s="302">
        <v>9.0558996548139925E-2</v>
      </c>
      <c r="L575" s="298">
        <v>337.08982686000002</v>
      </c>
      <c r="M575" s="298">
        <v>337.28835098000002</v>
      </c>
      <c r="N575" s="298">
        <v>336.35704981999999</v>
      </c>
      <c r="O575" s="306">
        <v>311.95258230000002</v>
      </c>
      <c r="P575" s="306" cm="1">
        <f t="array" ref="P575">INDEX($E$302:$E$676, MATCH($B575, $B$302:$B$676, 0) * MATCH("Brazil", $A$302:$A$676, 0))</f>
        <v>125695.23434510001</v>
      </c>
      <c r="Q575" s="306">
        <f t="shared" si="41"/>
        <v>125381.68094549001</v>
      </c>
      <c r="R575" s="336">
        <f>INDEX('Base GDP'!$A$1:$E$76,MATCH(A575,'Base GDP'!$A$1:$A$76,0),4)</f>
        <v>315318.76572541997</v>
      </c>
      <c r="S575" s="336">
        <f>INDEX('Base GDP'!$A$1:$E$76,MATCH(A575,'Base GDP'!$A$1:$A$76,0),5)</f>
        <v>361238.79673869</v>
      </c>
      <c r="T575" s="335">
        <f t="shared" si="42"/>
        <v>1.084725731508933E-3</v>
      </c>
      <c r="U575" s="335">
        <f t="shared" si="43"/>
        <v>1.0325819715588966E-3</v>
      </c>
      <c r="V575" s="335">
        <f t="shared" si="44"/>
        <v>-5.2143759950036431E-5</v>
      </c>
    </row>
    <row r="576" spans="1:22" x14ac:dyDescent="0.45">
      <c r="A576" s="293" t="s">
        <v>121</v>
      </c>
      <c r="B576" s="297" t="s">
        <v>7</v>
      </c>
      <c r="C576" s="293" t="str">
        <f t="shared" si="40"/>
        <v>SingaporeManufacture of motor vehicles, trailers and semi-trailers (C29)</v>
      </c>
      <c r="D576" s="297" t="s">
        <v>958</v>
      </c>
      <c r="E576" s="298">
        <v>208.83079429</v>
      </c>
      <c r="F576" s="298">
        <v>325.04020104</v>
      </c>
      <c r="G576" s="302">
        <v>0.55647639106626134</v>
      </c>
      <c r="H576" s="303">
        <v>31688.49433727</v>
      </c>
      <c r="I576" s="298">
        <v>282.89642491000001</v>
      </c>
      <c r="J576" s="298">
        <v>325.04020104</v>
      </c>
      <c r="K576" s="302">
        <v>0.14897245924336966</v>
      </c>
      <c r="L576" s="298">
        <v>599.29480044000002</v>
      </c>
      <c r="M576" s="298">
        <v>439.79832784000001</v>
      </c>
      <c r="N576" s="298">
        <v>296.06248505999997</v>
      </c>
      <c r="O576" s="306">
        <v>436.70609078000001</v>
      </c>
      <c r="P576" s="306" cm="1">
        <f t="array" ref="P576">INDEX($E$302:$E$676, MATCH($B576, $B$302:$B$676, 0) * MATCH("Brazil", $A$302:$A$676, 0))</f>
        <v>125695.23434510001</v>
      </c>
      <c r="Q576" s="306">
        <f t="shared" si="41"/>
        <v>125486.40355081001</v>
      </c>
      <c r="R576" s="336">
        <f>INDEX('Base GDP'!$A$1:$E$76,MATCH(A576,'Base GDP'!$A$1:$A$76,0),4)</f>
        <v>331298.98374970001</v>
      </c>
      <c r="S576" s="336">
        <f>INDEX('Base GDP'!$A$1:$E$76,MATCH(A576,'Base GDP'!$A$1:$A$76,0),5)</f>
        <v>394237.177708</v>
      </c>
      <c r="T576" s="335">
        <f t="shared" si="42"/>
        <v>8.5390067216062251E-4</v>
      </c>
      <c r="U576" s="335">
        <f t="shared" si="43"/>
        <v>8.2447881483351069E-4</v>
      </c>
      <c r="V576" s="335">
        <f t="shared" si="44"/>
        <v>-2.9421857327111825E-5</v>
      </c>
    </row>
    <row r="577" spans="1:22" x14ac:dyDescent="0.45">
      <c r="A577" s="293" t="s">
        <v>123</v>
      </c>
      <c r="B577" s="297" t="s">
        <v>7</v>
      </c>
      <c r="C577" s="293" t="str">
        <f t="shared" si="40"/>
        <v>IsraelManufacture of motor vehicles, trailers and semi-trailers (C29)</v>
      </c>
      <c r="D577" s="297" t="s">
        <v>958</v>
      </c>
      <c r="E577" s="298">
        <v>466.12888332</v>
      </c>
      <c r="F577" s="298">
        <v>311.45303904000002</v>
      </c>
      <c r="G577" s="302">
        <v>-0.33183063700820736</v>
      </c>
      <c r="H577" s="303">
        <v>31431.196248239998</v>
      </c>
      <c r="I577" s="298">
        <v>339.35752599</v>
      </c>
      <c r="J577" s="298">
        <v>311.45303904000002</v>
      </c>
      <c r="K577" s="302">
        <v>-8.2227399756627961E-2</v>
      </c>
      <c r="L577" s="298">
        <v>359.55426822999999</v>
      </c>
      <c r="M577" s="298">
        <v>352.75368004000001</v>
      </c>
      <c r="N577" s="298">
        <v>356.95971317999999</v>
      </c>
      <c r="O577" s="306">
        <v>398.07377858000001</v>
      </c>
      <c r="P577" s="306" cm="1">
        <f t="array" ref="P577">INDEX($E$302:$E$676, MATCH($B577, $B$302:$B$676, 0) * MATCH("Brazil", $A$302:$A$676, 0))</f>
        <v>125695.23434510001</v>
      </c>
      <c r="Q577" s="306">
        <f t="shared" si="41"/>
        <v>125229.10546178001</v>
      </c>
      <c r="R577" s="336">
        <f>INDEX('Base GDP'!$A$1:$E$76,MATCH(A577,'Base GDP'!$A$1:$A$76,0),4)</f>
        <v>339252.33917334001</v>
      </c>
      <c r="S577" s="336">
        <f>INDEX('Base GDP'!$A$1:$E$76,MATCH(A577,'Base GDP'!$A$1:$A$76,0),5)</f>
        <v>430314.68651226</v>
      </c>
      <c r="T577" s="335">
        <f t="shared" si="42"/>
        <v>1.0003100548014387E-3</v>
      </c>
      <c r="U577" s="335">
        <f t="shared" si="43"/>
        <v>7.2377971006371054E-4</v>
      </c>
      <c r="V577" s="335">
        <f t="shared" si="44"/>
        <v>-2.7653034473772815E-4</v>
      </c>
    </row>
    <row r="578" spans="1:22" x14ac:dyDescent="0.45">
      <c r="A578" s="293" t="s">
        <v>151</v>
      </c>
      <c r="B578" s="297" t="s">
        <v>7</v>
      </c>
      <c r="C578" s="293" t="str">
        <f t="shared" ref="C578:C641" si="45">A578&amp;B578</f>
        <v>NorwayManufacture of motor vehicles, trailers and semi-trailers (C29)</v>
      </c>
      <c r="D578" s="297" t="s">
        <v>958</v>
      </c>
      <c r="E578" s="298">
        <v>212.14370722000001</v>
      </c>
      <c r="F578" s="298">
        <v>300.86129999000002</v>
      </c>
      <c r="G578" s="302">
        <v>0.41819573124550402</v>
      </c>
      <c r="H578" s="303">
        <v>31685.18142434</v>
      </c>
      <c r="I578" s="298">
        <v>225.68971589</v>
      </c>
      <c r="J578" s="298">
        <v>300.86129999000002</v>
      </c>
      <c r="K578" s="302">
        <v>0.33307492015559204</v>
      </c>
      <c r="L578" s="298">
        <v>323.38345114999998</v>
      </c>
      <c r="M578" s="298">
        <v>310.32811909999998</v>
      </c>
      <c r="N578" s="298">
        <v>314.48374274000003</v>
      </c>
      <c r="O578" s="306">
        <v>326.45907987999999</v>
      </c>
      <c r="P578" s="306" cm="1">
        <f t="array" ref="P578">INDEX($E$302:$E$676, MATCH($B578, $B$302:$B$676, 0) * MATCH("Brazil", $A$302:$A$676, 0))</f>
        <v>125695.23434510001</v>
      </c>
      <c r="Q578" s="306">
        <f t="shared" si="41"/>
        <v>125483.09063788</v>
      </c>
      <c r="R578" s="336">
        <f>INDEX('Base GDP'!$A$1:$E$76,MATCH(A578,'Base GDP'!$A$1:$A$76,0),4)</f>
        <v>386512.35690163</v>
      </c>
      <c r="S578" s="336">
        <f>INDEX('Base GDP'!$A$1:$E$76,MATCH(A578,'Base GDP'!$A$1:$A$76,0),5)</f>
        <v>418559.21595058002</v>
      </c>
      <c r="T578" s="335">
        <f t="shared" si="42"/>
        <v>5.839133260814209E-4</v>
      </c>
      <c r="U578" s="335">
        <f t="shared" si="43"/>
        <v>7.1880223520278004E-4</v>
      </c>
      <c r="V578" s="335">
        <f t="shared" si="44"/>
        <v>1.3488890912135914E-4</v>
      </c>
    </row>
    <row r="579" spans="1:22" x14ac:dyDescent="0.45">
      <c r="A579" s="293" t="s">
        <v>127</v>
      </c>
      <c r="B579" s="297" t="s">
        <v>7</v>
      </c>
      <c r="C579" s="293" t="str">
        <f t="shared" si="45"/>
        <v>IrelandManufacture of motor vehicles, trailers and semi-trailers (C29)</v>
      </c>
      <c r="D579" s="297" t="s">
        <v>958</v>
      </c>
      <c r="E579" s="298">
        <v>178.10843403999999</v>
      </c>
      <c r="F579" s="298">
        <v>292.35694840999997</v>
      </c>
      <c r="G579" s="302">
        <v>0.64145482489808314</v>
      </c>
      <c r="H579" s="303">
        <v>31719.216697519998</v>
      </c>
      <c r="I579" s="298">
        <v>192.19792398000001</v>
      </c>
      <c r="J579" s="298">
        <v>292.35694840999997</v>
      </c>
      <c r="K579" s="302">
        <v>0.52112438238626568</v>
      </c>
      <c r="L579" s="298">
        <v>329.02117635000002</v>
      </c>
      <c r="M579" s="298">
        <v>324.38674368</v>
      </c>
      <c r="N579" s="298">
        <v>325.16340356000001</v>
      </c>
      <c r="O579" s="306">
        <v>333.65077277</v>
      </c>
      <c r="P579" s="306" cm="1">
        <f t="array" ref="P579">INDEX($E$302:$E$676, MATCH($B579, $B$302:$B$676, 0) * MATCH("Brazil", $A$302:$A$676, 0))</f>
        <v>125695.23434510001</v>
      </c>
      <c r="Q579" s="306">
        <f t="shared" ref="Q579:Q642" si="46">P579-E579</f>
        <v>125517.12591106001</v>
      </c>
      <c r="R579" s="336">
        <f>INDEX('Base GDP'!$A$1:$E$76,MATCH(A579,'Base GDP'!$A$1:$A$76,0),4)</f>
        <v>308812.05776281998</v>
      </c>
      <c r="S579" s="336">
        <f>INDEX('Base GDP'!$A$1:$E$76,MATCH(A579,'Base GDP'!$A$1:$A$76,0),5)</f>
        <v>483748.84960921999</v>
      </c>
      <c r="T579" s="335">
        <f t="shared" ref="T579:T642" si="47">I579/R579</f>
        <v>6.2237830145743761E-4</v>
      </c>
      <c r="U579" s="335">
        <f t="shared" ref="U579:U642" si="48">J579/S579</f>
        <v>6.0435688611181306E-4</v>
      </c>
      <c r="V579" s="335">
        <f t="shared" ref="V579:V642" si="49">U579-T579</f>
        <v>-1.8021415345624548E-5</v>
      </c>
    </row>
    <row r="580" spans="1:22" x14ac:dyDescent="0.45">
      <c r="A580" s="293" t="s">
        <v>160</v>
      </c>
      <c r="B580" s="297" t="s">
        <v>7</v>
      </c>
      <c r="C580" s="293" t="str">
        <f t="shared" si="45"/>
        <v>BulgariaManufacture of motor vehicles, trailers and semi-trailers (C29)</v>
      </c>
      <c r="D580" s="297" t="s">
        <v>958</v>
      </c>
      <c r="E580" s="298">
        <v>218.69468744</v>
      </c>
      <c r="F580" s="298">
        <v>283.14145151000002</v>
      </c>
      <c r="G580" s="302">
        <v>0.2946882927262755</v>
      </c>
      <c r="H580" s="303">
        <v>31678.630444120001</v>
      </c>
      <c r="I580" s="298">
        <v>265.25236021000001</v>
      </c>
      <c r="J580" s="298">
        <v>283.14145151000002</v>
      </c>
      <c r="K580" s="302">
        <v>6.7441779917951417E-2</v>
      </c>
      <c r="L580" s="298">
        <v>399.58956189000003</v>
      </c>
      <c r="M580" s="298">
        <v>436.84202578999998</v>
      </c>
      <c r="N580" s="298">
        <v>460.86095681</v>
      </c>
      <c r="O580" s="306">
        <v>510.23012931</v>
      </c>
      <c r="P580" s="306" cm="1">
        <f t="array" ref="P580">INDEX($E$302:$E$676, MATCH($B580, $B$302:$B$676, 0) * MATCH("Brazil", $A$302:$A$676, 0))</f>
        <v>125695.23434510001</v>
      </c>
      <c r="Q580" s="306">
        <f t="shared" si="46"/>
        <v>125476.53965766</v>
      </c>
      <c r="R580" s="336">
        <f>INDEX('Base GDP'!$A$1:$E$76,MATCH(A580,'Base GDP'!$A$1:$A$76,0),4)</f>
        <v>60854.013563</v>
      </c>
      <c r="S580" s="336">
        <f>INDEX('Base GDP'!$A$1:$E$76,MATCH(A580,'Base GDP'!$A$1:$A$76,0),5)</f>
        <v>70836.911882080007</v>
      </c>
      <c r="T580" s="335">
        <f t="shared" si="47"/>
        <v>4.3588309904225731E-3</v>
      </c>
      <c r="U580" s="335">
        <f t="shared" si="48"/>
        <v>3.9970891444468491E-3</v>
      </c>
      <c r="V580" s="335">
        <f t="shared" si="49"/>
        <v>-3.6174184597572399E-4</v>
      </c>
    </row>
    <row r="581" spans="1:22" x14ac:dyDescent="0.45">
      <c r="A581" s="293" t="s">
        <v>148</v>
      </c>
      <c r="B581" s="297" t="s">
        <v>7</v>
      </c>
      <c r="C581" s="293" t="str">
        <f t="shared" si="45"/>
        <v>BahrainManufacture of motor vehicles, trailers and semi-trailers (C29)</v>
      </c>
      <c r="D581" s="297" t="s">
        <v>958</v>
      </c>
      <c r="E581" s="298">
        <v>151.19340341</v>
      </c>
      <c r="F581" s="298">
        <v>178.54915260000001</v>
      </c>
      <c r="G581" s="302">
        <v>0.18093216088150244</v>
      </c>
      <c r="H581" s="303">
        <v>31746.131728149998</v>
      </c>
      <c r="I581" s="298">
        <v>177.64683628</v>
      </c>
      <c r="J581" s="298">
        <v>178.54915260000001</v>
      </c>
      <c r="K581" s="302">
        <v>5.0792704159268176E-3</v>
      </c>
      <c r="L581" s="298">
        <v>201.11760622</v>
      </c>
      <c r="M581" s="298">
        <v>214.47013720000001</v>
      </c>
      <c r="N581" s="298">
        <v>225.71578887999999</v>
      </c>
      <c r="O581" s="306">
        <v>250.39547214000001</v>
      </c>
      <c r="P581" s="306" cm="1">
        <f t="array" ref="P581">INDEX($E$302:$E$676, MATCH($B581, $B$302:$B$676, 0) * MATCH("Brazil", $A$302:$A$676, 0))</f>
        <v>125695.23434510001</v>
      </c>
      <c r="Q581" s="306">
        <f t="shared" si="46"/>
        <v>125544.04094169001</v>
      </c>
      <c r="R581" s="336">
        <f>INDEX('Base GDP'!$A$1:$E$76,MATCH(A581,'Base GDP'!$A$1:$A$76,0),4)</f>
        <v>33332.328188890002</v>
      </c>
      <c r="S581" s="336">
        <f>INDEX('Base GDP'!$A$1:$E$76,MATCH(A581,'Base GDP'!$A$1:$A$76,0),5)</f>
        <v>36767.801730239997</v>
      </c>
      <c r="T581" s="335">
        <f t="shared" si="47"/>
        <v>5.329565797903414E-3</v>
      </c>
      <c r="U581" s="335">
        <f t="shared" si="48"/>
        <v>4.8561280304432975E-3</v>
      </c>
      <c r="V581" s="335">
        <f t="shared" si="49"/>
        <v>-4.7343776746011645E-4</v>
      </c>
    </row>
    <row r="582" spans="1:22" x14ac:dyDescent="0.45">
      <c r="A582" s="293" t="s">
        <v>175</v>
      </c>
      <c r="B582" s="297" t="s">
        <v>7</v>
      </c>
      <c r="C582" s="293" t="str">
        <f t="shared" si="45"/>
        <v>KenyaManufacture of motor vehicles, trailers and semi-trailers (C29)</v>
      </c>
      <c r="D582" s="297" t="s">
        <v>958</v>
      </c>
      <c r="E582" s="298">
        <v>113.82217353999999</v>
      </c>
      <c r="F582" s="298">
        <v>171.84598148000001</v>
      </c>
      <c r="G582" s="302">
        <v>0.50977596135614989</v>
      </c>
      <c r="H582" s="303">
        <v>31783.502958019999</v>
      </c>
      <c r="I582" s="298">
        <v>140.95311484000001</v>
      </c>
      <c r="J582" s="298">
        <v>171.84598148000001</v>
      </c>
      <c r="K582" s="302">
        <v>0.21917122353108254</v>
      </c>
      <c r="L582" s="298">
        <v>211.15718071000001</v>
      </c>
      <c r="M582" s="298">
        <v>260.29037387</v>
      </c>
      <c r="N582" s="298">
        <v>301.59560309</v>
      </c>
      <c r="O582" s="306">
        <v>416.04955776000003</v>
      </c>
      <c r="P582" s="306" cm="1">
        <f t="array" ref="P582">INDEX($E$302:$E$676, MATCH($B582, $B$302:$B$676, 0) * MATCH("Brazil", $A$302:$A$676, 0))</f>
        <v>125695.23434510001</v>
      </c>
      <c r="Q582" s="306">
        <f t="shared" si="46"/>
        <v>125581.41217156</v>
      </c>
      <c r="R582" s="336">
        <f>INDEX('Base GDP'!$A$1:$E$76,MATCH(A582,'Base GDP'!$A$1:$A$76,0),4)</f>
        <v>83525.195225389994</v>
      </c>
      <c r="S582" s="336">
        <f>INDEX('Base GDP'!$A$1:$E$76,MATCH(A582,'Base GDP'!$A$1:$A$76,0),5)</f>
        <v>107697.99713524</v>
      </c>
      <c r="T582" s="335">
        <f t="shared" si="47"/>
        <v>1.687552054917593E-3</v>
      </c>
      <c r="U582" s="335">
        <f t="shared" si="48"/>
        <v>1.5956283872596742E-3</v>
      </c>
      <c r="V582" s="335">
        <f t="shared" si="49"/>
        <v>-9.19236676579188E-5</v>
      </c>
    </row>
    <row r="583" spans="1:22" x14ac:dyDescent="0.45">
      <c r="A583" s="293" t="s">
        <v>170</v>
      </c>
      <c r="B583" s="297" t="s">
        <v>7</v>
      </c>
      <c r="C583" s="293" t="str">
        <f t="shared" si="45"/>
        <v>ChileManufacture of motor vehicles, trailers and semi-trailers (C29)</v>
      </c>
      <c r="D583" s="297" t="s">
        <v>958</v>
      </c>
      <c r="E583" s="298">
        <v>153.26219907999999</v>
      </c>
      <c r="F583" s="298">
        <v>152.31197080000001</v>
      </c>
      <c r="G583" s="302">
        <v>-6.2000172625995553E-3</v>
      </c>
      <c r="H583" s="303">
        <v>31744.062932479999</v>
      </c>
      <c r="I583" s="298">
        <v>148.14874992</v>
      </c>
      <c r="J583" s="298">
        <v>152.31197080000001</v>
      </c>
      <c r="K583" s="302">
        <v>2.8101626792316203E-2</v>
      </c>
      <c r="L583" s="298">
        <v>163.70921709999999</v>
      </c>
      <c r="M583" s="298">
        <v>176.029259</v>
      </c>
      <c r="N583" s="298">
        <v>185.88171525000001</v>
      </c>
      <c r="O583" s="306">
        <v>204.65505772</v>
      </c>
      <c r="P583" s="306" cm="1">
        <f t="array" ref="P583">INDEX($E$302:$E$676, MATCH($B583, $B$302:$B$676, 0) * MATCH("Brazil", $A$302:$A$676, 0))</f>
        <v>125695.23434510001</v>
      </c>
      <c r="Q583" s="306">
        <f t="shared" si="46"/>
        <v>125541.97214602001</v>
      </c>
      <c r="R583" s="336">
        <f>INDEX('Base GDP'!$A$1:$E$76,MATCH(A583,'Base GDP'!$A$1:$A$76,0),4)</f>
        <v>257576.69277617999</v>
      </c>
      <c r="S583" s="336">
        <f>INDEX('Base GDP'!$A$1:$E$76,MATCH(A583,'Base GDP'!$A$1:$A$76,0),5)</f>
        <v>291863.26262717001</v>
      </c>
      <c r="T583" s="335">
        <f t="shared" si="47"/>
        <v>5.7516364669195103E-4</v>
      </c>
      <c r="U583" s="335">
        <f t="shared" si="48"/>
        <v>5.2186071459964917E-4</v>
      </c>
      <c r="V583" s="335">
        <f t="shared" si="49"/>
        <v>-5.330293209230186E-5</v>
      </c>
    </row>
    <row r="584" spans="1:22" x14ac:dyDescent="0.45">
      <c r="A584" s="293" t="s">
        <v>166</v>
      </c>
      <c r="B584" s="297" t="s">
        <v>7</v>
      </c>
      <c r="C584" s="293" t="str">
        <f t="shared" si="45"/>
        <v>HondurasManufacture of motor vehicles, trailers and semi-trailers (C29)</v>
      </c>
      <c r="D584" s="297" t="s">
        <v>958</v>
      </c>
      <c r="E584" s="298">
        <v>92.507808280000006</v>
      </c>
      <c r="F584" s="298">
        <v>116.16248136999999</v>
      </c>
      <c r="G584" s="302">
        <v>0.25570461056003713</v>
      </c>
      <c r="H584" s="303">
        <v>31804.81732328</v>
      </c>
      <c r="I584" s="298">
        <v>102.90448492</v>
      </c>
      <c r="J584" s="298">
        <v>116.16248136999999</v>
      </c>
      <c r="K584" s="302">
        <v>0.128837887486702</v>
      </c>
      <c r="L584" s="298">
        <v>140.69816301</v>
      </c>
      <c r="M584" s="298">
        <v>162.54378283</v>
      </c>
      <c r="N584" s="298">
        <v>181.4645471</v>
      </c>
      <c r="O584" s="306">
        <v>235.26462857999999</v>
      </c>
      <c r="P584" s="306" cm="1">
        <f t="array" ref="P584">INDEX($E$302:$E$676, MATCH($B584, $B$302:$B$676, 0) * MATCH("Brazil", $A$302:$A$676, 0))</f>
        <v>125695.23434510001</v>
      </c>
      <c r="Q584" s="306">
        <f t="shared" si="46"/>
        <v>125602.72653682</v>
      </c>
      <c r="R584" s="336">
        <f>INDEX('Base GDP'!$A$1:$E$76,MATCH(A584,'Base GDP'!$A$1:$A$76,0),4)</f>
        <v>21608.112082880001</v>
      </c>
      <c r="S584" s="336">
        <f>INDEX('Base GDP'!$A$1:$E$76,MATCH(A584,'Base GDP'!$A$1:$A$76,0),5)</f>
        <v>25703.55773198</v>
      </c>
      <c r="T584" s="335">
        <f t="shared" si="47"/>
        <v>4.7623079945762923E-3</v>
      </c>
      <c r="U584" s="335">
        <f t="shared" si="48"/>
        <v>4.5193152862832014E-3</v>
      </c>
      <c r="V584" s="335">
        <f t="shared" si="49"/>
        <v>-2.4299270829309088E-4</v>
      </c>
    </row>
    <row r="585" spans="1:22" x14ac:dyDescent="0.45">
      <c r="A585" s="293" t="s">
        <v>172</v>
      </c>
      <c r="B585" s="297" t="s">
        <v>7</v>
      </c>
      <c r="C585" s="293" t="str">
        <f t="shared" si="45"/>
        <v>UruguayManufacture of motor vehicles, trailers and semi-trailers (C29)</v>
      </c>
      <c r="D585" s="297" t="s">
        <v>958</v>
      </c>
      <c r="E585" s="298">
        <v>52.707772589999998</v>
      </c>
      <c r="F585" s="298">
        <v>90.687909939999997</v>
      </c>
      <c r="G585" s="302">
        <v>0.72057944177299182</v>
      </c>
      <c r="H585" s="303">
        <v>31844.617358969997</v>
      </c>
      <c r="I585" s="298">
        <v>58.272450050000003</v>
      </c>
      <c r="J585" s="298">
        <v>90.687909939999997</v>
      </c>
      <c r="K585" s="302">
        <v>0.55627418895526581</v>
      </c>
      <c r="L585" s="298">
        <v>117.40116055999999</v>
      </c>
      <c r="M585" s="298">
        <v>133.75806997000001</v>
      </c>
      <c r="N585" s="298">
        <v>121.31914061000001</v>
      </c>
      <c r="O585" s="306">
        <v>107.10967731</v>
      </c>
      <c r="P585" s="306" cm="1">
        <f t="array" ref="P585">INDEX($E$302:$E$676, MATCH($B585, $B$302:$B$676, 0) * MATCH("Brazil", $A$302:$A$676, 0))</f>
        <v>125695.23434510001</v>
      </c>
      <c r="Q585" s="306">
        <f t="shared" si="46"/>
        <v>125642.52657251</v>
      </c>
      <c r="R585" s="336">
        <f>INDEX('Base GDP'!$A$1:$E$76,MATCH(A585,'Base GDP'!$A$1:$A$76,0),4)</f>
        <v>59449.563607900003</v>
      </c>
      <c r="S585" s="336">
        <f>INDEX('Base GDP'!$A$1:$E$76,MATCH(A585,'Base GDP'!$A$1:$A$76,0),5)</f>
        <v>61243.536031950003</v>
      </c>
      <c r="T585" s="335">
        <f t="shared" si="47"/>
        <v>9.8019979480987174E-4</v>
      </c>
      <c r="U585" s="335">
        <f t="shared" si="48"/>
        <v>1.4807752101820056E-3</v>
      </c>
      <c r="V585" s="335">
        <f t="shared" si="49"/>
        <v>5.0057541537213389E-4</v>
      </c>
    </row>
    <row r="586" spans="1:22" x14ac:dyDescent="0.45">
      <c r="A586" s="293" t="s">
        <v>165</v>
      </c>
      <c r="B586" s="297" t="s">
        <v>7</v>
      </c>
      <c r="C586" s="293" t="str">
        <f t="shared" si="45"/>
        <v>EcuadorManufacture of motor vehicles, trailers and semi-trailers (C29)</v>
      </c>
      <c r="D586" s="297" t="s">
        <v>958</v>
      </c>
      <c r="E586" s="298">
        <v>111.49857708</v>
      </c>
      <c r="F586" s="298">
        <v>90.262877720000006</v>
      </c>
      <c r="G586" s="302">
        <v>-0.19045713332075465</v>
      </c>
      <c r="H586" s="303">
        <v>31785.826554479998</v>
      </c>
      <c r="I586" s="298">
        <v>89.89985283</v>
      </c>
      <c r="J586" s="298">
        <v>90.262877720000006</v>
      </c>
      <c r="K586" s="302">
        <v>4.0381032735001821E-3</v>
      </c>
      <c r="L586" s="298">
        <v>127.89255813</v>
      </c>
      <c r="M586" s="298">
        <v>131.01636848000001</v>
      </c>
      <c r="N586" s="298">
        <v>135.59799387000001</v>
      </c>
      <c r="O586" s="306">
        <v>152.11239737</v>
      </c>
      <c r="P586" s="306" cm="1">
        <f t="array" ref="P586">INDEX($E$302:$E$676, MATCH($B586, $B$302:$B$676, 0) * MATCH("Brazil", $A$302:$A$676, 0))</f>
        <v>125695.23434510001</v>
      </c>
      <c r="Q586" s="306">
        <f t="shared" si="46"/>
        <v>125583.73576802001</v>
      </c>
      <c r="R586" s="336">
        <f>INDEX('Base GDP'!$A$1:$E$76,MATCH(A586,'Base GDP'!$A$1:$A$76,0),4)</f>
        <v>105544.34131757999</v>
      </c>
      <c r="S586" s="336">
        <f>INDEX('Base GDP'!$A$1:$E$76,MATCH(A586,'Base GDP'!$A$1:$A$76,0),5)</f>
        <v>103911.06087433999</v>
      </c>
      <c r="T586" s="335">
        <f t="shared" si="47"/>
        <v>8.517733088076587E-4</v>
      </c>
      <c r="U586" s="335">
        <f t="shared" si="48"/>
        <v>8.6865514566495685E-4</v>
      </c>
      <c r="V586" s="335">
        <f t="shared" si="49"/>
        <v>1.6881836857298143E-5</v>
      </c>
    </row>
    <row r="587" spans="1:22" x14ac:dyDescent="0.45">
      <c r="A587" s="293" t="s">
        <v>168</v>
      </c>
      <c r="B587" s="297" t="s">
        <v>7</v>
      </c>
      <c r="C587" s="293" t="str">
        <f t="shared" si="45"/>
        <v>TunisiaManufacture of motor vehicles, trailers and semi-trailers (C29)</v>
      </c>
      <c r="D587" s="297" t="s">
        <v>958</v>
      </c>
      <c r="E587" s="298">
        <v>71.035460599999993</v>
      </c>
      <c r="F587" s="298">
        <v>84.379999990000002</v>
      </c>
      <c r="G587" s="302">
        <v>0.18785743454445925</v>
      </c>
      <c r="H587" s="303">
        <v>31826.289670959999</v>
      </c>
      <c r="I587" s="298">
        <v>77.970816639999995</v>
      </c>
      <c r="J587" s="298">
        <v>84.379999990000002</v>
      </c>
      <c r="K587" s="302">
        <v>8.2199771994077242E-2</v>
      </c>
      <c r="L587" s="298">
        <v>102.94478018</v>
      </c>
      <c r="M587" s="298">
        <v>115.69274068999999</v>
      </c>
      <c r="N587" s="298">
        <v>125.34573082999999</v>
      </c>
      <c r="O587" s="306">
        <v>149.14573815</v>
      </c>
      <c r="P587" s="306" cm="1">
        <f t="array" ref="P587">INDEX($E$302:$E$676, MATCH($B587, $B$302:$B$676, 0) * MATCH("Brazil", $A$302:$A$676, 0))</f>
        <v>125695.23434510001</v>
      </c>
      <c r="Q587" s="306">
        <f t="shared" si="46"/>
        <v>125624.1988845</v>
      </c>
      <c r="R587" s="336">
        <f>INDEX('Base GDP'!$A$1:$E$76,MATCH(A587,'Base GDP'!$A$1:$A$76,0),4)</f>
        <v>38884.65391288</v>
      </c>
      <c r="S587" s="336">
        <f>INDEX('Base GDP'!$A$1:$E$76,MATCH(A587,'Base GDP'!$A$1:$A$76,0),5)</f>
        <v>40072.692608359997</v>
      </c>
      <c r="T587" s="335">
        <f t="shared" si="47"/>
        <v>2.0051822195638275E-3</v>
      </c>
      <c r="U587" s="335">
        <f t="shared" si="48"/>
        <v>2.1056733275865913E-3</v>
      </c>
      <c r="V587" s="335">
        <f t="shared" si="49"/>
        <v>1.0049110802276377E-4</v>
      </c>
    </row>
    <row r="588" spans="1:22" x14ac:dyDescent="0.45">
      <c r="A588" s="293" t="s">
        <v>156</v>
      </c>
      <c r="B588" s="297" t="s">
        <v>7</v>
      </c>
      <c r="C588" s="293" t="str">
        <f t="shared" si="45"/>
        <v>GreeceManufacture of motor vehicles, trailers and semi-trailers (C29)</v>
      </c>
      <c r="D588" s="297" t="s">
        <v>958</v>
      </c>
      <c r="E588" s="298">
        <v>123.47970855</v>
      </c>
      <c r="F588" s="298">
        <v>73.937970320000005</v>
      </c>
      <c r="G588" s="302">
        <v>-0.40121359866944706</v>
      </c>
      <c r="H588" s="303">
        <v>31773.84542301</v>
      </c>
      <c r="I588" s="298">
        <v>50.040793309999998</v>
      </c>
      <c r="J588" s="298">
        <v>73.937970320000005</v>
      </c>
      <c r="K588" s="302">
        <v>0.47755392009791486</v>
      </c>
      <c r="L588" s="298">
        <v>82.20494248</v>
      </c>
      <c r="M588" s="298">
        <v>83.513001790000004</v>
      </c>
      <c r="N588" s="298">
        <v>79.812259370000007</v>
      </c>
      <c r="O588" s="306">
        <v>83.285058460000002</v>
      </c>
      <c r="P588" s="306" cm="1">
        <f t="array" ref="P588">INDEX($E$302:$E$676, MATCH($B588, $B$302:$B$676, 0) * MATCH("Brazil", $A$302:$A$676, 0))</f>
        <v>125695.23434510001</v>
      </c>
      <c r="Q588" s="306">
        <f t="shared" si="46"/>
        <v>125571.75463655</v>
      </c>
      <c r="R588" s="336">
        <f>INDEX('Base GDP'!$A$1:$E$76,MATCH(A588,'Base GDP'!$A$1:$A$76,0),4)</f>
        <v>196841.83448053</v>
      </c>
      <c r="S588" s="336">
        <f>INDEX('Base GDP'!$A$1:$E$76,MATCH(A588,'Base GDP'!$A$1:$A$76,0),5)</f>
        <v>201121.93838619001</v>
      </c>
      <c r="T588" s="335">
        <f t="shared" si="47"/>
        <v>2.5421828363903827E-4</v>
      </c>
      <c r="U588" s="335">
        <f t="shared" si="48"/>
        <v>3.6762757416361963E-4</v>
      </c>
      <c r="V588" s="335">
        <f t="shared" si="49"/>
        <v>1.1340929052458136E-4</v>
      </c>
    </row>
    <row r="589" spans="1:22" x14ac:dyDescent="0.45">
      <c r="A589" s="293" t="s">
        <v>153</v>
      </c>
      <c r="B589" s="297" t="s">
        <v>7</v>
      </c>
      <c r="C589" s="293" t="str">
        <f t="shared" si="45"/>
        <v>OmanManufacture of motor vehicles, trailers and semi-trailers (C29)</v>
      </c>
      <c r="D589" s="297" t="s">
        <v>958</v>
      </c>
      <c r="E589" s="298">
        <v>34.558477770000003</v>
      </c>
      <c r="F589" s="298">
        <v>58.957061359999997</v>
      </c>
      <c r="G589" s="302">
        <v>0.70600863129394686</v>
      </c>
      <c r="H589" s="303">
        <v>31862.76665379</v>
      </c>
      <c r="I589" s="298">
        <v>54.632744240000001</v>
      </c>
      <c r="J589" s="298">
        <v>58.957061359999997</v>
      </c>
      <c r="K589" s="302">
        <v>7.915247861252217E-2</v>
      </c>
      <c r="L589" s="298">
        <v>70.480881170000004</v>
      </c>
      <c r="M589" s="298">
        <v>79.209742239999997</v>
      </c>
      <c r="N589" s="298">
        <v>83.768441129999999</v>
      </c>
      <c r="O589" s="306">
        <v>95.001807569999997</v>
      </c>
      <c r="P589" s="306" cm="1">
        <f t="array" ref="P589">INDEX($E$302:$E$676, MATCH($B589, $B$302:$B$676, 0) * MATCH("Brazil", $A$302:$A$676, 0))</f>
        <v>125695.23434510001</v>
      </c>
      <c r="Q589" s="306">
        <f t="shared" si="46"/>
        <v>125660.67586733001</v>
      </c>
      <c r="R589" s="336">
        <f>INDEX('Base GDP'!$A$1:$E$76,MATCH(A589,'Base GDP'!$A$1:$A$76,0),4)</f>
        <v>83456.391863790006</v>
      </c>
      <c r="S589" s="336">
        <f>INDEX('Base GDP'!$A$1:$E$76,MATCH(A589,'Base GDP'!$A$1:$A$76,0),5)</f>
        <v>87715.792114070005</v>
      </c>
      <c r="T589" s="335">
        <f t="shared" si="47"/>
        <v>6.5462624275881278E-4</v>
      </c>
      <c r="U589" s="335">
        <f t="shared" si="48"/>
        <v>6.7213736476698838E-4</v>
      </c>
      <c r="V589" s="335">
        <f t="shared" si="49"/>
        <v>1.7511122008175592E-5</v>
      </c>
    </row>
    <row r="590" spans="1:22" x14ac:dyDescent="0.45">
      <c r="A590" s="293" t="s">
        <v>124</v>
      </c>
      <c r="B590" s="297" t="s">
        <v>7</v>
      </c>
      <c r="C590" s="293" t="str">
        <f t="shared" si="45"/>
        <v>BangladeshManufacture of motor vehicles, trailers and semi-trailers (C29)</v>
      </c>
      <c r="D590" s="297" t="s">
        <v>958</v>
      </c>
      <c r="E590" s="298">
        <v>12.746813250000001</v>
      </c>
      <c r="F590" s="298">
        <v>36.363447489999999</v>
      </c>
      <c r="G590" s="302">
        <v>1.8527481164753077</v>
      </c>
      <c r="H590" s="303">
        <v>31884.578318309999</v>
      </c>
      <c r="I590" s="298">
        <v>20.723887179999998</v>
      </c>
      <c r="J590" s="298">
        <v>36.363447489999999</v>
      </c>
      <c r="K590" s="302">
        <v>0.75466345546858937</v>
      </c>
      <c r="L590" s="298">
        <v>60.187153909999999</v>
      </c>
      <c r="M590" s="298">
        <v>78.339277109999998</v>
      </c>
      <c r="N590" s="298">
        <v>93.51758882</v>
      </c>
      <c r="O590" s="306">
        <v>135.60019462</v>
      </c>
      <c r="P590" s="306" cm="1">
        <f t="array" ref="P590">INDEX($E$302:$E$676, MATCH($B590, $B$302:$B$676, 0) * MATCH("Brazil", $A$302:$A$676, 0))</f>
        <v>125695.23434510001</v>
      </c>
      <c r="Q590" s="306">
        <f t="shared" si="46"/>
        <v>125682.48753185</v>
      </c>
      <c r="R590" s="336">
        <f>INDEX('Base GDP'!$A$1:$E$76,MATCH(A590,'Base GDP'!$A$1:$A$76,0),4)</f>
        <v>264392.25455249997</v>
      </c>
      <c r="S590" s="336">
        <f>INDEX('Base GDP'!$A$1:$E$76,MATCH(A590,'Base GDP'!$A$1:$A$76,0),5)</f>
        <v>386628.84638325998</v>
      </c>
      <c r="T590" s="335">
        <f t="shared" si="47"/>
        <v>7.8383110031254288E-5</v>
      </c>
      <c r="U590" s="335">
        <f t="shared" si="48"/>
        <v>9.4052598067019045E-5</v>
      </c>
      <c r="V590" s="335">
        <f t="shared" si="49"/>
        <v>1.5669488035764757E-5</v>
      </c>
    </row>
    <row r="591" spans="1:22" x14ac:dyDescent="0.45">
      <c r="A591" s="293" t="s">
        <v>177</v>
      </c>
      <c r="B591" s="297" t="s">
        <v>7</v>
      </c>
      <c r="C591" s="293" t="str">
        <f t="shared" si="45"/>
        <v>BoliviaManufacture of motor vehicles, trailers and semi-trailers (C29)</v>
      </c>
      <c r="D591" s="297" t="s">
        <v>958</v>
      </c>
      <c r="E591" s="298">
        <v>28.940331359999998</v>
      </c>
      <c r="F591" s="298">
        <v>35.349101959999999</v>
      </c>
      <c r="G591" s="302">
        <v>0.22144772705878246</v>
      </c>
      <c r="H591" s="303">
        <v>31868.384800199998</v>
      </c>
      <c r="I591" s="298">
        <v>35.862797129999997</v>
      </c>
      <c r="J591" s="298">
        <v>35.349101959999999</v>
      </c>
      <c r="K591" s="302">
        <v>-1.4323901399489025E-2</v>
      </c>
      <c r="L591" s="298">
        <v>40.680110740000003</v>
      </c>
      <c r="M591" s="298">
        <v>53.956660749999998</v>
      </c>
      <c r="N591" s="298">
        <v>67.423239100000004</v>
      </c>
      <c r="O591" s="306">
        <v>90.27080977</v>
      </c>
      <c r="P591" s="306" cm="1">
        <f t="array" ref="P591">INDEX($E$302:$E$676, MATCH($B591, $B$302:$B$676, 0) * MATCH("Brazil", $A$302:$A$676, 0))</f>
        <v>125695.23434510001</v>
      </c>
      <c r="Q591" s="306">
        <f t="shared" si="46"/>
        <v>125666.29401374</v>
      </c>
      <c r="R591" s="336">
        <f>INDEX('Base GDP'!$A$1:$E$76,MATCH(A591,'Base GDP'!$A$1:$A$76,0),4)</f>
        <v>35334.894672080001</v>
      </c>
      <c r="S591" s="336">
        <f>INDEX('Base GDP'!$A$1:$E$76,MATCH(A591,'Base GDP'!$A$1:$A$76,0),5)</f>
        <v>39600.741188879998</v>
      </c>
      <c r="T591" s="335">
        <f t="shared" si="47"/>
        <v>1.0149399754214386E-3</v>
      </c>
      <c r="U591" s="335">
        <f t="shared" si="48"/>
        <v>8.9263738250248026E-4</v>
      </c>
      <c r="V591" s="335">
        <f t="shared" si="49"/>
        <v>-1.2230259291895831E-4</v>
      </c>
    </row>
    <row r="592" spans="1:22" x14ac:dyDescent="0.45">
      <c r="A592" s="293" t="s">
        <v>169</v>
      </c>
      <c r="B592" s="297" t="s">
        <v>7</v>
      </c>
      <c r="C592" s="293" t="str">
        <f t="shared" si="45"/>
        <v>Costa RicaManufacture of motor vehicles, trailers and semi-trailers (C29)</v>
      </c>
      <c r="D592" s="297" t="s">
        <v>958</v>
      </c>
      <c r="E592" s="298">
        <v>16.123225380000001</v>
      </c>
      <c r="F592" s="298">
        <v>21.948641940000002</v>
      </c>
      <c r="G592" s="302">
        <v>0.36130590639923188</v>
      </c>
      <c r="H592" s="303">
        <v>31881.201906179998</v>
      </c>
      <c r="I592" s="298">
        <v>18.63598623</v>
      </c>
      <c r="J592" s="298">
        <v>21.948641940000002</v>
      </c>
      <c r="K592" s="302">
        <v>0.17775585735663002</v>
      </c>
      <c r="L592" s="298">
        <v>26.304250620000001</v>
      </c>
      <c r="M592" s="298">
        <v>28.788215730000001</v>
      </c>
      <c r="N592" s="298">
        <v>30.692263520000001</v>
      </c>
      <c r="O592" s="306">
        <v>35.8149522</v>
      </c>
      <c r="P592" s="306" cm="1">
        <f t="array" ref="P592">INDEX($E$302:$E$676, MATCH($B592, $B$302:$B$676, 0) * MATCH("Brazil", $A$302:$A$676, 0))</f>
        <v>125695.23434510001</v>
      </c>
      <c r="Q592" s="306">
        <f t="shared" si="46"/>
        <v>125679.11111972001</v>
      </c>
      <c r="R592" s="336">
        <f>INDEX('Base GDP'!$A$1:$E$76,MATCH(A592,'Base GDP'!$A$1:$A$76,0),4)</f>
        <v>56790.776904650003</v>
      </c>
      <c r="S592" s="336">
        <f>INDEX('Base GDP'!$A$1:$E$76,MATCH(A592,'Base GDP'!$A$1:$A$76,0),5)</f>
        <v>66933.267445050005</v>
      </c>
      <c r="T592" s="335">
        <f t="shared" si="47"/>
        <v>3.2815163386986691E-4</v>
      </c>
      <c r="U592" s="335">
        <f t="shared" si="48"/>
        <v>3.2791828006931096E-4</v>
      </c>
      <c r="V592" s="335">
        <f t="shared" si="49"/>
        <v>-2.3335380055594613E-7</v>
      </c>
    </row>
    <row r="593" spans="1:22" x14ac:dyDescent="0.45">
      <c r="A593" s="293" t="s">
        <v>174</v>
      </c>
      <c r="B593" s="297" t="s">
        <v>7</v>
      </c>
      <c r="C593" s="293" t="str">
        <f t="shared" si="45"/>
        <v>Sri LankaManufacture of motor vehicles, trailers and semi-trailers (C29)</v>
      </c>
      <c r="D593" s="297" t="s">
        <v>958</v>
      </c>
      <c r="E593" s="298">
        <v>50.53290475</v>
      </c>
      <c r="F593" s="298">
        <v>21.5704508</v>
      </c>
      <c r="G593" s="302">
        <v>-0.57314049317538984</v>
      </c>
      <c r="H593" s="303">
        <v>31846.792226809997</v>
      </c>
      <c r="I593" s="298">
        <v>19.366167189999999</v>
      </c>
      <c r="J593" s="298">
        <v>21.5704508</v>
      </c>
      <c r="K593" s="302">
        <v>0.11382136632271855</v>
      </c>
      <c r="L593" s="298">
        <v>20.654941440000002</v>
      </c>
      <c r="M593" s="298">
        <v>23.52403417</v>
      </c>
      <c r="N593" s="298">
        <v>25.986560570000002</v>
      </c>
      <c r="O593" s="306">
        <v>32.364979320000003</v>
      </c>
      <c r="P593" s="306" cm="1">
        <f t="array" ref="P593">INDEX($E$302:$E$676, MATCH($B593, $B$302:$B$676, 0) * MATCH("Brazil", $A$302:$A$676, 0))</f>
        <v>125695.23434510001</v>
      </c>
      <c r="Q593" s="306">
        <f t="shared" si="46"/>
        <v>125644.70144035001</v>
      </c>
      <c r="R593" s="336">
        <f>INDEX('Base GDP'!$A$1:$E$76,MATCH(A593,'Base GDP'!$A$1:$A$76,0),4)</f>
        <v>77969.257644440004</v>
      </c>
      <c r="S593" s="336">
        <f>INDEX('Base GDP'!$A$1:$E$76,MATCH(A593,'Base GDP'!$A$1:$A$76,0),5)</f>
        <v>87884.425158479993</v>
      </c>
      <c r="T593" s="335">
        <f t="shared" si="47"/>
        <v>2.4838209026325136E-4</v>
      </c>
      <c r="U593" s="335">
        <f t="shared" si="48"/>
        <v>2.4544110928759557E-4</v>
      </c>
      <c r="V593" s="335">
        <f t="shared" si="49"/>
        <v>-2.9409809756557911E-6</v>
      </c>
    </row>
    <row r="594" spans="1:22" x14ac:dyDescent="0.45">
      <c r="A594" s="293" t="s">
        <v>167</v>
      </c>
      <c r="B594" s="297" t="s">
        <v>7</v>
      </c>
      <c r="C594" s="293" t="str">
        <f t="shared" si="45"/>
        <v>Hong Kong SARManufacture of motor vehicles, trailers and semi-trailers (C29)</v>
      </c>
      <c r="D594" s="297" t="s">
        <v>958</v>
      </c>
      <c r="E594" s="298">
        <v>14.425243930000001</v>
      </c>
      <c r="F594" s="298">
        <v>16.079134499999999</v>
      </c>
      <c r="G594" s="302">
        <v>0.11465252012552951</v>
      </c>
      <c r="H594" s="303">
        <v>31882.899887629999</v>
      </c>
      <c r="I594" s="298">
        <v>17.405893760000001</v>
      </c>
      <c r="J594" s="298">
        <v>16.079134499999999</v>
      </c>
      <c r="K594" s="302">
        <v>-7.6224713208866701E-2</v>
      </c>
      <c r="L594" s="298">
        <v>19.820464940000001</v>
      </c>
      <c r="M594" s="298">
        <v>19.984189900000001</v>
      </c>
      <c r="N594" s="298">
        <v>19.90311054</v>
      </c>
      <c r="O594" s="306">
        <v>19.368911059999999</v>
      </c>
      <c r="P594" s="306" cm="1">
        <f t="array" ref="P594">INDEX($E$302:$E$676, MATCH($B594, $B$302:$B$676, 0) * MATCH("Brazil", $A$302:$A$676, 0))</f>
        <v>125695.23434510001</v>
      </c>
      <c r="Q594" s="306">
        <f t="shared" si="46"/>
        <v>125680.80910117</v>
      </c>
      <c r="R594" s="336">
        <f>INDEX('Base GDP'!$A$1:$E$76,MATCH(A594,'Base GDP'!$A$1:$A$76,0),4)</f>
        <v>338559.97086627001</v>
      </c>
      <c r="S594" s="336">
        <f>INDEX('Base GDP'!$A$1:$E$76,MATCH(A594,'Base GDP'!$A$1:$A$76,0),5)</f>
        <v>361197.76240428002</v>
      </c>
      <c r="T594" s="335">
        <f t="shared" si="47"/>
        <v>5.1411552628220386E-5</v>
      </c>
      <c r="U594" s="335">
        <f t="shared" si="48"/>
        <v>4.4516152018691098E-5</v>
      </c>
      <c r="V594" s="335">
        <f t="shared" si="49"/>
        <v>-6.8954006095292881E-6</v>
      </c>
    </row>
    <row r="595" spans="1:22" x14ac:dyDescent="0.45">
      <c r="A595" s="293" t="s">
        <v>176</v>
      </c>
      <c r="B595" s="297" t="s">
        <v>7</v>
      </c>
      <c r="C595" s="293" t="str">
        <f t="shared" si="45"/>
        <v>JordanManufacture of motor vehicles, trailers and semi-trailers (C29)</v>
      </c>
      <c r="D595" s="297" t="s">
        <v>958</v>
      </c>
      <c r="E595" s="298">
        <v>19.34930902</v>
      </c>
      <c r="F595" s="298">
        <v>10.571970090000001</v>
      </c>
      <c r="G595" s="302">
        <v>-0.45362544579382602</v>
      </c>
      <c r="H595" s="303">
        <v>31877.97582254</v>
      </c>
      <c r="I595" s="298">
        <v>14.940769080000001</v>
      </c>
      <c r="J595" s="298">
        <v>10.571970090000001</v>
      </c>
      <c r="K595" s="302">
        <v>-0.29240790528301241</v>
      </c>
      <c r="L595" s="298">
        <v>14.06001433</v>
      </c>
      <c r="M595" s="298">
        <v>14.94856062</v>
      </c>
      <c r="N595" s="298">
        <v>15.57476866</v>
      </c>
      <c r="O595" s="306">
        <v>16.87697215</v>
      </c>
      <c r="P595" s="306" cm="1">
        <f t="array" ref="P595">INDEX($E$302:$E$676, MATCH($B595, $B$302:$B$676, 0) * MATCH("Brazil", $A$302:$A$676, 0))</f>
        <v>125695.23434510001</v>
      </c>
      <c r="Q595" s="306">
        <f t="shared" si="46"/>
        <v>125675.88503608</v>
      </c>
      <c r="R595" s="336">
        <f>INDEX('Base GDP'!$A$1:$E$76,MATCH(A595,'Base GDP'!$A$1:$A$76,0),4)</f>
        <v>41181.394892199998</v>
      </c>
      <c r="S595" s="336">
        <f>INDEX('Base GDP'!$A$1:$E$76,MATCH(A595,'Base GDP'!$A$1:$A$76,0),5)</f>
        <v>44841.419332370002</v>
      </c>
      <c r="T595" s="335">
        <f t="shared" si="47"/>
        <v>3.6280386128518128E-4</v>
      </c>
      <c r="U595" s="335">
        <f t="shared" si="48"/>
        <v>2.35763502748191E-4</v>
      </c>
      <c r="V595" s="335">
        <f t="shared" si="49"/>
        <v>-1.2704035853699028E-4</v>
      </c>
    </row>
    <row r="596" spans="1:22" x14ac:dyDescent="0.45">
      <c r="A596" s="293" t="s">
        <v>155</v>
      </c>
      <c r="B596" s="297" t="s">
        <v>7</v>
      </c>
      <c r="C596" s="293" t="str">
        <f t="shared" si="45"/>
        <v>QatarManufacture of motor vehicles, trailers and semi-trailers (C29)</v>
      </c>
      <c r="D596" s="297" t="s">
        <v>958</v>
      </c>
      <c r="E596" s="298">
        <v>4.1405859600000001</v>
      </c>
      <c r="F596" s="298">
        <v>6.1737603300000004</v>
      </c>
      <c r="G596" s="302">
        <v>0.49103542098664699</v>
      </c>
      <c r="H596" s="303">
        <v>31893.184545599997</v>
      </c>
      <c r="I596" s="298">
        <v>5.6689165499999996</v>
      </c>
      <c r="J596" s="298">
        <v>6.1737603300000004</v>
      </c>
      <c r="K596" s="302">
        <v>8.9054720694380363E-2</v>
      </c>
      <c r="L596" s="298">
        <v>7.1744027299999997</v>
      </c>
      <c r="M596" s="298">
        <v>8.2258188400000005</v>
      </c>
      <c r="N596" s="298">
        <v>8.8960056400000003</v>
      </c>
      <c r="O596" s="306">
        <v>10.10827632</v>
      </c>
      <c r="P596" s="306" cm="1">
        <f t="array" ref="P596">INDEX($E$302:$E$676, MATCH($B596, $B$302:$B$676, 0) * MATCH("Brazil", $A$302:$A$676, 0))</f>
        <v>125695.23434510001</v>
      </c>
      <c r="Q596" s="306">
        <f t="shared" si="46"/>
        <v>125691.09375914</v>
      </c>
      <c r="R596" s="336">
        <f>INDEX('Base GDP'!$A$1:$E$76,MATCH(A596,'Base GDP'!$A$1:$A$76,0),4)</f>
        <v>170576.82347613</v>
      </c>
      <c r="S596" s="336">
        <f>INDEX('Base GDP'!$A$1:$E$76,MATCH(A596,'Base GDP'!$A$1:$A$76,0),5)</f>
        <v>172715.39534024999</v>
      </c>
      <c r="T596" s="335">
        <f t="shared" si="47"/>
        <v>3.3233803013064611E-5</v>
      </c>
      <c r="U596" s="335">
        <f t="shared" si="48"/>
        <v>3.5745280945208555E-5</v>
      </c>
      <c r="V596" s="335">
        <f t="shared" si="49"/>
        <v>2.5114779321439444E-6</v>
      </c>
    </row>
    <row r="597" spans="1:22" x14ac:dyDescent="0.45">
      <c r="A597" s="293" t="s">
        <v>171</v>
      </c>
      <c r="B597" s="297" t="s">
        <v>7</v>
      </c>
      <c r="C597" s="293" t="str">
        <f t="shared" si="45"/>
        <v>CameroonManufacture of motor vehicles, trailers and semi-trailers (C29)</v>
      </c>
      <c r="D597" s="297" t="s">
        <v>958</v>
      </c>
      <c r="E597" s="298">
        <v>3.35426022</v>
      </c>
      <c r="F597" s="298">
        <v>5.50337779</v>
      </c>
      <c r="G597" s="302">
        <v>0.64071283354396402</v>
      </c>
      <c r="H597" s="303">
        <v>31893.97087134</v>
      </c>
      <c r="I597" s="298">
        <v>4.3386070999999999</v>
      </c>
      <c r="J597" s="298">
        <v>5.50337779</v>
      </c>
      <c r="K597" s="302">
        <v>0.26846650622039503</v>
      </c>
      <c r="L597" s="298">
        <v>6.7880805400000002</v>
      </c>
      <c r="M597" s="298">
        <v>8.0600729999999992</v>
      </c>
      <c r="N597" s="298">
        <v>8.9715902700000001</v>
      </c>
      <c r="O597" s="306">
        <v>11.314120620000001</v>
      </c>
      <c r="P597" s="306" cm="1">
        <f t="array" ref="P597">INDEX($E$302:$E$676, MATCH($B597, $B$302:$B$676, 0) * MATCH("Brazil", $A$302:$A$676, 0))</f>
        <v>125695.23434510001</v>
      </c>
      <c r="Q597" s="306">
        <f t="shared" si="46"/>
        <v>125691.88008488</v>
      </c>
      <c r="R597" s="336">
        <f>INDEX('Base GDP'!$A$1:$E$76,MATCH(A597,'Base GDP'!$A$1:$A$76,0),4)</f>
        <v>34069.891642009999</v>
      </c>
      <c r="S597" s="336">
        <f>INDEX('Base GDP'!$A$1:$E$76,MATCH(A597,'Base GDP'!$A$1:$A$76,0),5)</f>
        <v>41316.84413338</v>
      </c>
      <c r="T597" s="335">
        <f t="shared" si="47"/>
        <v>1.2734431754547366E-4</v>
      </c>
      <c r="U597" s="335">
        <f t="shared" si="48"/>
        <v>1.3319937438188327E-4</v>
      </c>
      <c r="V597" s="335">
        <f t="shared" si="49"/>
        <v>5.8550568364096063E-6</v>
      </c>
    </row>
    <row r="598" spans="1:22" x14ac:dyDescent="0.45">
      <c r="A598" s="293" t="s">
        <v>158</v>
      </c>
      <c r="B598" s="297" t="s">
        <v>7</v>
      </c>
      <c r="C598" s="293" t="str">
        <f t="shared" si="45"/>
        <v>GhanaManufacture of motor vehicles, trailers and semi-trailers (C29)</v>
      </c>
      <c r="D598" s="297" t="s">
        <v>958</v>
      </c>
      <c r="E598" s="298">
        <v>3.6828361599999999</v>
      </c>
      <c r="F598" s="298">
        <v>5.0999647899999996</v>
      </c>
      <c r="G598" s="302">
        <v>0.38479274353600346</v>
      </c>
      <c r="H598" s="303">
        <v>31893.642295400001</v>
      </c>
      <c r="I598" s="298">
        <v>4.1901700899999996</v>
      </c>
      <c r="J598" s="298">
        <v>5.0999647899999996</v>
      </c>
      <c r="K598" s="302">
        <v>0.21712595919942723</v>
      </c>
      <c r="L598" s="298">
        <v>5.9818743899999998</v>
      </c>
      <c r="M598" s="298">
        <v>7.0185225100000004</v>
      </c>
      <c r="N598" s="298">
        <v>7.8999192100000002</v>
      </c>
      <c r="O598" s="306">
        <v>10.45218318</v>
      </c>
      <c r="P598" s="306" cm="1">
        <f t="array" ref="P598">INDEX($E$302:$E$676, MATCH($B598, $B$302:$B$676, 0) * MATCH("Brazil", $A$302:$A$676, 0))</f>
        <v>125695.23434510001</v>
      </c>
      <c r="Q598" s="306">
        <f t="shared" si="46"/>
        <v>125691.55150894</v>
      </c>
      <c r="R598" s="336">
        <f>INDEX('Base GDP'!$A$1:$E$76,MATCH(A598,'Base GDP'!$A$1:$A$76,0),4)</f>
        <v>54050.698328470004</v>
      </c>
      <c r="S598" s="336">
        <f>INDEX('Base GDP'!$A$1:$E$76,MATCH(A598,'Base GDP'!$A$1:$A$76,0),5)</f>
        <v>72367.878986030002</v>
      </c>
      <c r="T598" s="335">
        <f t="shared" si="47"/>
        <v>7.7522959361894512E-5</v>
      </c>
      <c r="U598" s="335">
        <f t="shared" si="48"/>
        <v>7.0472768601999563E-5</v>
      </c>
      <c r="V598" s="335">
        <f t="shared" si="49"/>
        <v>-7.0501907598949495E-6</v>
      </c>
    </row>
    <row r="599" spans="1:22" x14ac:dyDescent="0.45">
      <c r="A599" s="293" t="s">
        <v>178</v>
      </c>
      <c r="B599" s="297" t="s">
        <v>7</v>
      </c>
      <c r="C599" s="293" t="str">
        <f t="shared" si="45"/>
        <v>SenegalManufacture of motor vehicles, trailers and semi-trailers (C29)</v>
      </c>
      <c r="D599" s="297" t="s">
        <v>958</v>
      </c>
      <c r="E599" s="298">
        <v>3.8315444099999998</v>
      </c>
      <c r="F599" s="298">
        <v>4.8021968900000003</v>
      </c>
      <c r="G599" s="302">
        <v>0.2533319142710917</v>
      </c>
      <c r="H599" s="303">
        <v>31893.493587149998</v>
      </c>
      <c r="I599" s="298">
        <v>4.2570526299999996</v>
      </c>
      <c r="J599" s="298">
        <v>4.8021968900000003</v>
      </c>
      <c r="K599" s="302">
        <v>0.12805673487762381</v>
      </c>
      <c r="L599" s="298">
        <v>4.9015554100000003</v>
      </c>
      <c r="M599" s="298">
        <v>4.9214103500000004</v>
      </c>
      <c r="N599" s="298">
        <v>4.9338130900000001</v>
      </c>
      <c r="O599" s="306">
        <v>4.9701882399999997</v>
      </c>
      <c r="P599" s="306" cm="1">
        <f t="array" ref="P599">INDEX($E$302:$E$676, MATCH($B599, $B$302:$B$676, 0) * MATCH("Brazil", $A$302:$A$676, 0))</f>
        <v>125695.23434510001</v>
      </c>
      <c r="Q599" s="306">
        <f t="shared" si="46"/>
        <v>125691.40280069</v>
      </c>
      <c r="R599" s="336">
        <f>INDEX('Base GDP'!$A$1:$E$76,MATCH(A599,'Base GDP'!$A$1:$A$76,0),4)</f>
        <v>18437.455260710001</v>
      </c>
      <c r="S599" s="336">
        <f>INDEX('Base GDP'!$A$1:$E$76,MATCH(A599,'Base GDP'!$A$1:$A$76,0),5)</f>
        <v>25150.80803964</v>
      </c>
      <c r="T599" s="335">
        <f t="shared" si="47"/>
        <v>2.3089155036876092E-4</v>
      </c>
      <c r="U599" s="335">
        <f t="shared" si="48"/>
        <v>1.9093608771659717E-4</v>
      </c>
      <c r="V599" s="335">
        <f t="shared" si="49"/>
        <v>-3.9955462652163751E-5</v>
      </c>
    </row>
    <row r="600" spans="1:22" x14ac:dyDescent="0.45">
      <c r="A600" s="293" t="s">
        <v>173</v>
      </c>
      <c r="B600" s="297" t="s">
        <v>7</v>
      </c>
      <c r="C600" s="293" t="str">
        <f t="shared" si="45"/>
        <v>PanamaManufacture of motor vehicles, trailers and semi-trailers (C29)</v>
      </c>
      <c r="D600" s="297" t="s">
        <v>958</v>
      </c>
      <c r="E600" s="298">
        <v>0.12265884000000001</v>
      </c>
      <c r="F600" s="298">
        <v>0.25375597</v>
      </c>
      <c r="G600" s="302">
        <v>1.0687947970158529</v>
      </c>
      <c r="H600" s="303">
        <v>31897.202472720001</v>
      </c>
      <c r="I600" s="298">
        <v>0.23925262</v>
      </c>
      <c r="J600" s="298">
        <v>0.25375597</v>
      </c>
      <c r="K600" s="302">
        <v>6.0619398859665496E-2</v>
      </c>
      <c r="L600" s="298">
        <v>0.28691912000000003</v>
      </c>
      <c r="M600" s="298">
        <v>0.32122926000000002</v>
      </c>
      <c r="N600" s="298">
        <v>0.34705783000000001</v>
      </c>
      <c r="O600" s="306">
        <v>0.40576500999999998</v>
      </c>
      <c r="P600" s="306" cm="1">
        <f t="array" ref="P600">INDEX($E$302:$E$676, MATCH($B600, $B$302:$B$676, 0) * MATCH("Brazil", $A$302:$A$676, 0))</f>
        <v>125695.23434510001</v>
      </c>
      <c r="Q600" s="306">
        <f t="shared" si="46"/>
        <v>125695.11168626</v>
      </c>
      <c r="R600" s="336">
        <f>INDEX('Base GDP'!$A$1:$E$76,MATCH(A600,'Base GDP'!$A$1:$A$76,0),4)</f>
        <v>58921.61186117</v>
      </c>
      <c r="S600" s="336">
        <f>INDEX('Base GDP'!$A$1:$E$76,MATCH(A600,'Base GDP'!$A$1:$A$76,0),5)</f>
        <v>65983.988595749994</v>
      </c>
      <c r="T600" s="335">
        <f t="shared" si="47"/>
        <v>4.0605240155975799E-6</v>
      </c>
      <c r="U600" s="335">
        <f t="shared" si="48"/>
        <v>3.8457203846016718E-6</v>
      </c>
      <c r="V600" s="335">
        <f t="shared" si="49"/>
        <v>-2.1480363099590818E-7</v>
      </c>
    </row>
    <row r="601" spans="1:22" x14ac:dyDescent="0.45">
      <c r="A601" s="293" t="s">
        <v>179</v>
      </c>
      <c r="B601" s="297" t="s">
        <v>7</v>
      </c>
      <c r="C601" s="293" t="str">
        <f t="shared" si="45"/>
        <v>WorldManufacture of motor vehicles, trailers and semi-trailers (C29)</v>
      </c>
      <c r="D601" s="297" t="s">
        <v>958</v>
      </c>
      <c r="E601" s="298">
        <v>685177.29793137999</v>
      </c>
      <c r="F601" s="298">
        <v>1005001.2017428</v>
      </c>
      <c r="G601" s="302">
        <v>0.46677539488976194</v>
      </c>
      <c r="H601" s="303">
        <v>653279.97279982001</v>
      </c>
      <c r="I601" s="298">
        <v>879318.56851934001</v>
      </c>
      <c r="J601" s="298">
        <v>1005001.2017428</v>
      </c>
      <c r="K601" s="302">
        <v>0.14293185396402297</v>
      </c>
      <c r="L601" s="298">
        <v>1186241.8429783001</v>
      </c>
      <c r="M601" s="298">
        <v>1239942.3061049001</v>
      </c>
      <c r="N601" s="298">
        <v>1264388.4508322</v>
      </c>
      <c r="O601" s="306">
        <v>1317763.1141939</v>
      </c>
      <c r="P601" s="306" cm="1">
        <f t="array" ref="P601">INDEX($E$302:$E$676, MATCH($B601, $B$302:$B$676, 0) * MATCH("Brazil", $A$302:$A$676, 0))</f>
        <v>125695.23434510001</v>
      </c>
      <c r="Q601" s="306">
        <f t="shared" si="46"/>
        <v>-559482.06358627998</v>
      </c>
      <c r="R601" s="336">
        <f>INDEX('Base GDP'!$A$1:$E$76,MATCH(A601,'Base GDP'!$A$1:$A$76,0),4)</f>
        <v>74892116.540485993</v>
      </c>
      <c r="S601" s="336">
        <f>INDEX('Base GDP'!$A$1:$E$76,MATCH(A601,'Base GDP'!$A$1:$A$76,0),5)</f>
        <v>87029234.955234006</v>
      </c>
      <c r="T601" s="335">
        <f t="shared" si="47"/>
        <v>1.1741136572685704E-2</v>
      </c>
      <c r="U601" s="335">
        <f t="shared" si="48"/>
        <v>1.1547857478693812E-2</v>
      </c>
      <c r="V601" s="335">
        <f t="shared" si="49"/>
        <v>-1.9327909399189172E-4</v>
      </c>
    </row>
    <row r="602" spans="1:22" x14ac:dyDescent="0.45">
      <c r="A602" s="293" t="s">
        <v>179</v>
      </c>
      <c r="B602" s="297" t="s">
        <v>8</v>
      </c>
      <c r="C602" s="293" t="str">
        <f t="shared" si="45"/>
        <v>WorldManufacture of other transport equipment (C30)</v>
      </c>
      <c r="D602" s="297" t="s">
        <v>958</v>
      </c>
      <c r="E602" s="298">
        <v>357742.69163840002</v>
      </c>
      <c r="F602" s="298">
        <v>425811.66829101997</v>
      </c>
      <c r="G602" s="302">
        <v>0.19027356321627642</v>
      </c>
      <c r="H602" s="303">
        <v>352192.64438483003</v>
      </c>
      <c r="I602" s="298">
        <v>398831.16785152</v>
      </c>
      <c r="J602" s="298">
        <v>425811.66829101997</v>
      </c>
      <c r="K602" s="302">
        <v>6.764892669959166E-2</v>
      </c>
      <c r="L602" s="298">
        <v>558500.45241554</v>
      </c>
      <c r="M602" s="298">
        <v>610314.86528306</v>
      </c>
      <c r="N602" s="298">
        <v>648133.16354849003</v>
      </c>
      <c r="O602" s="306">
        <v>746888.63404616003</v>
      </c>
      <c r="P602" s="306" cm="1">
        <f t="array" ref="P602">INDEX($E$302:$E$676, MATCH($B602, $B$302:$B$676, 0) * MATCH("Brazil", $A$302:$A$676, 0))</f>
        <v>357742.69163840002</v>
      </c>
      <c r="Q602" s="306">
        <f t="shared" si="46"/>
        <v>0</v>
      </c>
      <c r="R602" s="336">
        <f>INDEX('Base GDP'!$A$1:$E$76,MATCH(A602,'Base GDP'!$A$1:$A$76,0),4)</f>
        <v>74892116.540485993</v>
      </c>
      <c r="S602" s="336">
        <f>INDEX('Base GDP'!$A$1:$E$76,MATCH(A602,'Base GDP'!$A$1:$A$76,0),5)</f>
        <v>87029234.955234006</v>
      </c>
      <c r="T602" s="335">
        <f t="shared" si="47"/>
        <v>5.3254092189518442E-3</v>
      </c>
      <c r="U602" s="335">
        <f t="shared" si="48"/>
        <v>4.8927428640507808E-3</v>
      </c>
      <c r="V602" s="335">
        <f t="shared" si="49"/>
        <v>-4.3266635490106335E-4</v>
      </c>
    </row>
    <row r="603" spans="1:22" x14ac:dyDescent="0.45">
      <c r="A603" s="293" t="s">
        <v>141</v>
      </c>
      <c r="B603" s="297" t="s">
        <v>8</v>
      </c>
      <c r="C603" s="293" t="str">
        <f t="shared" si="45"/>
        <v>United StatesManufacture of other transport equipment (C30)</v>
      </c>
      <c r="D603" s="297" t="s">
        <v>958</v>
      </c>
      <c r="E603" s="298">
        <v>136770.75088795999</v>
      </c>
      <c r="F603" s="298">
        <v>153242.31017439</v>
      </c>
      <c r="G603" s="302">
        <v>0.12043188459148846</v>
      </c>
      <c r="H603" s="303">
        <v>131220.70363439</v>
      </c>
      <c r="I603" s="298">
        <v>152950.47490696999</v>
      </c>
      <c r="J603" s="298">
        <v>153242.31017439</v>
      </c>
      <c r="K603" s="302">
        <v>1.9080376677320654E-3</v>
      </c>
      <c r="L603" s="298">
        <v>197906.69366046999</v>
      </c>
      <c r="M603" s="298">
        <v>203546.77908353001</v>
      </c>
      <c r="N603" s="298">
        <v>209487.09796578999</v>
      </c>
      <c r="O603" s="306">
        <v>233345.55723179001</v>
      </c>
      <c r="P603" s="306" cm="1">
        <f t="array" ref="P603">INDEX($E$302:$E$676, MATCH($B603, $B$302:$B$676, 0) * MATCH("Brazil", $A$302:$A$676, 0))</f>
        <v>357742.69163840002</v>
      </c>
      <c r="Q603" s="306">
        <f t="shared" si="46"/>
        <v>220971.94075044003</v>
      </c>
      <c r="R603" s="336">
        <f>INDEX('Base GDP'!$A$1:$E$76,MATCH(A603,'Base GDP'!$A$1:$A$76,0),4)</f>
        <v>19553083.060252</v>
      </c>
      <c r="S603" s="336">
        <f>INDEX('Base GDP'!$A$1:$E$76,MATCH(A603,'Base GDP'!$A$1:$A$76,0),5)</f>
        <v>22265681.170655001</v>
      </c>
      <c r="T603" s="335">
        <f t="shared" si="47"/>
        <v>7.8223201136956022E-3</v>
      </c>
      <c r="U603" s="335">
        <f t="shared" si="48"/>
        <v>6.8824442872358798E-3</v>
      </c>
      <c r="V603" s="335">
        <f t="shared" si="49"/>
        <v>-9.3987582645972245E-4</v>
      </c>
    </row>
    <row r="604" spans="1:22" x14ac:dyDescent="0.45">
      <c r="A604" s="293" t="s">
        <v>907</v>
      </c>
      <c r="B604" s="297" t="s">
        <v>8</v>
      </c>
      <c r="C604" s="293" t="str">
        <f t="shared" si="45"/>
        <v>ChinaManufacture of other transport equipment (C30)</v>
      </c>
      <c r="D604" s="297" t="s">
        <v>958</v>
      </c>
      <c r="E604" s="298">
        <v>53551.071916350003</v>
      </c>
      <c r="F604" s="298">
        <v>95143.074655279997</v>
      </c>
      <c r="G604" s="302">
        <v>0.7766791821440886</v>
      </c>
      <c r="H604" s="303">
        <v>48001.024662780001</v>
      </c>
      <c r="I604" s="298">
        <v>69909.998790740006</v>
      </c>
      <c r="J604" s="298">
        <v>95143.074655279997</v>
      </c>
      <c r="K604" s="302">
        <v>0.36093657990282013</v>
      </c>
      <c r="L604" s="298">
        <v>118545.40285730999</v>
      </c>
      <c r="M604" s="298">
        <v>141373.82842121</v>
      </c>
      <c r="N604" s="298">
        <v>158229.55826414999</v>
      </c>
      <c r="O604" s="306">
        <v>198932.86035187001</v>
      </c>
      <c r="P604" s="306" cm="1">
        <f t="array" ref="P604">INDEX($E$302:$E$676, MATCH($B604, $B$302:$B$676, 0) * MATCH("Brazil", $A$302:$A$676, 0))</f>
        <v>357742.69163840002</v>
      </c>
      <c r="Q604" s="306">
        <f t="shared" si="46"/>
        <v>304191.61972205003</v>
      </c>
      <c r="R604" s="336">
        <f>INDEX('Base GDP'!$A$1:$E$76,MATCH(A604,'Base GDP'!$A$1:$A$76,0),4)</f>
        <v>11048064.947659001</v>
      </c>
      <c r="S604" s="336">
        <f>INDEX('Base GDP'!$A$1:$E$76,MATCH(A604,'Base GDP'!$A$1:$A$76,0),5)</f>
        <v>15827750.501527</v>
      </c>
      <c r="T604" s="335">
        <f t="shared" si="47"/>
        <v>6.3278048347781835E-3</v>
      </c>
      <c r="U604" s="335">
        <f t="shared" si="48"/>
        <v>6.0111558269825491E-3</v>
      </c>
      <c r="V604" s="335">
        <f t="shared" si="49"/>
        <v>-3.1664900779563437E-4</v>
      </c>
    </row>
    <row r="605" spans="1:22" x14ac:dyDescent="0.45">
      <c r="A605" s="293" t="s">
        <v>97</v>
      </c>
      <c r="B605" s="297" t="s">
        <v>8</v>
      </c>
      <c r="C605" s="293" t="str">
        <f t="shared" si="45"/>
        <v>FranceManufacture of other transport equipment (C30)</v>
      </c>
      <c r="D605" s="297" t="s">
        <v>958</v>
      </c>
      <c r="E605" s="298">
        <v>17985.810012580001</v>
      </c>
      <c r="F605" s="298">
        <v>17302.34868553</v>
      </c>
      <c r="G605" s="302">
        <v>-3.8000030389065631E-2</v>
      </c>
      <c r="H605" s="303">
        <v>12435.762759010002</v>
      </c>
      <c r="I605" s="298">
        <v>19719.364943159999</v>
      </c>
      <c r="J605" s="298">
        <v>17302.34868553</v>
      </c>
      <c r="K605" s="302">
        <v>-0.12257069457342651</v>
      </c>
      <c r="L605" s="298">
        <v>20869.036233899998</v>
      </c>
      <c r="M605" s="298">
        <v>21975.656312430001</v>
      </c>
      <c r="N605" s="298">
        <v>22913.184800359999</v>
      </c>
      <c r="O605" s="306">
        <v>25154.135985280001</v>
      </c>
      <c r="P605" s="306" cm="1">
        <f t="array" ref="P605">INDEX($E$302:$E$676, MATCH($B605, $B$302:$B$676, 0) * MATCH("Brazil", $A$302:$A$676, 0))</f>
        <v>357742.69163840002</v>
      </c>
      <c r="Q605" s="306">
        <f t="shared" si="46"/>
        <v>339756.88162582001</v>
      </c>
      <c r="R605" s="336">
        <f>INDEX('Base GDP'!$A$1:$E$76,MATCH(A605,'Base GDP'!$A$1:$A$76,0),4)</f>
        <v>2544956.5086996001</v>
      </c>
      <c r="S605" s="336">
        <f>INDEX('Base GDP'!$A$1:$E$76,MATCH(A605,'Base GDP'!$A$1:$A$76,0),5)</f>
        <v>2682424.2983101001</v>
      </c>
      <c r="T605" s="335">
        <f t="shared" si="47"/>
        <v>7.7484094033638436E-3</v>
      </c>
      <c r="U605" s="335">
        <f t="shared" si="48"/>
        <v>6.4502654171565265E-3</v>
      </c>
      <c r="V605" s="335">
        <f t="shared" si="49"/>
        <v>-1.2981439862073171E-3</v>
      </c>
    </row>
    <row r="606" spans="1:22" x14ac:dyDescent="0.45">
      <c r="A606" s="293" t="s">
        <v>98</v>
      </c>
      <c r="B606" s="297" t="s">
        <v>8</v>
      </c>
      <c r="C606" s="293" t="str">
        <f t="shared" si="45"/>
        <v>GermanyManufacture of other transport equipment (C30)</v>
      </c>
      <c r="D606" s="297" t="s">
        <v>958</v>
      </c>
      <c r="E606" s="298">
        <v>14327.19740055</v>
      </c>
      <c r="F606" s="298">
        <v>16807.409939950001</v>
      </c>
      <c r="G606" s="302">
        <v>0.17311219145377232</v>
      </c>
      <c r="H606" s="303">
        <v>8777.1501469799987</v>
      </c>
      <c r="I606" s="298">
        <v>15991.771921060001</v>
      </c>
      <c r="J606" s="298">
        <v>16807.409939950001</v>
      </c>
      <c r="K606" s="302">
        <v>5.1003605036153976E-2</v>
      </c>
      <c r="L606" s="298">
        <v>20876.336722489999</v>
      </c>
      <c r="M606" s="298">
        <v>22523.419128599999</v>
      </c>
      <c r="N606" s="298">
        <v>23580.081526589998</v>
      </c>
      <c r="O606" s="306">
        <v>25707.191171319999</v>
      </c>
      <c r="P606" s="306" cm="1">
        <f t="array" ref="P606">INDEX($E$302:$E$676, MATCH($B606, $B$302:$B$676, 0) * MATCH("Brazil", $A$302:$A$676, 0))</f>
        <v>357742.69163840002</v>
      </c>
      <c r="Q606" s="306">
        <f t="shared" si="46"/>
        <v>343415.49423785001</v>
      </c>
      <c r="R606" s="336">
        <f>INDEX('Base GDP'!$A$1:$E$76,MATCH(A606,'Base GDP'!$A$1:$A$76,0),4)</f>
        <v>3626843.1759532001</v>
      </c>
      <c r="S606" s="336">
        <f>INDEX('Base GDP'!$A$1:$E$76,MATCH(A606,'Base GDP'!$A$1:$A$76,0),5)</f>
        <v>3849084.4984781002</v>
      </c>
      <c r="T606" s="335">
        <f t="shared" si="47"/>
        <v>4.4092813350985523E-3</v>
      </c>
      <c r="U606" s="335">
        <f t="shared" si="48"/>
        <v>4.3665993683941022E-3</v>
      </c>
      <c r="V606" s="335">
        <f t="shared" si="49"/>
        <v>-4.2681966704450139E-5</v>
      </c>
    </row>
    <row r="607" spans="1:22" x14ac:dyDescent="0.45">
      <c r="A607" s="293" t="s">
        <v>76</v>
      </c>
      <c r="B607" s="297" t="s">
        <v>8</v>
      </c>
      <c r="C607" s="293" t="str">
        <f t="shared" si="45"/>
        <v>United KingdomManufacture of other transport equipment (C30)</v>
      </c>
      <c r="D607" s="297" t="s">
        <v>958</v>
      </c>
      <c r="E607" s="298">
        <v>16251.837974530001</v>
      </c>
      <c r="F607" s="298">
        <v>15841.80885908</v>
      </c>
      <c r="G607" s="302">
        <v>-2.5229707316341776E-2</v>
      </c>
      <c r="H607" s="303">
        <v>10701.790720960002</v>
      </c>
      <c r="I607" s="298">
        <v>11233.76345778</v>
      </c>
      <c r="J607" s="298">
        <v>15841.80885908</v>
      </c>
      <c r="K607" s="302">
        <v>0.4101960503813773</v>
      </c>
      <c r="L607" s="298">
        <v>16253.317220069999</v>
      </c>
      <c r="M607" s="298">
        <v>16975.1306941</v>
      </c>
      <c r="N607" s="298">
        <v>17370.87511189</v>
      </c>
      <c r="O607" s="306">
        <v>18567.323274480001</v>
      </c>
      <c r="P607" s="306" cm="1">
        <f t="array" ref="P607">INDEX($E$302:$E$676, MATCH($B607, $B$302:$B$676, 0) * MATCH("Brazil", $A$302:$A$676, 0))</f>
        <v>357742.69163840002</v>
      </c>
      <c r="Q607" s="306">
        <f t="shared" si="46"/>
        <v>341490.85366387002</v>
      </c>
      <c r="R607" s="336">
        <f>INDEX('Base GDP'!$A$1:$E$76,MATCH(A607,'Base GDP'!$A$1:$A$76,0),4)</f>
        <v>2643868.3114987002</v>
      </c>
      <c r="S607" s="336">
        <f>INDEX('Base GDP'!$A$1:$E$76,MATCH(A607,'Base GDP'!$A$1:$A$76,0),5)</f>
        <v>2777419.6130784</v>
      </c>
      <c r="T607" s="335">
        <f t="shared" si="47"/>
        <v>4.2489875191295146E-3</v>
      </c>
      <c r="U607" s="335">
        <f t="shared" si="48"/>
        <v>5.7037866314775037E-3</v>
      </c>
      <c r="V607" s="335">
        <f t="shared" si="49"/>
        <v>1.4547991123479891E-3</v>
      </c>
    </row>
    <row r="608" spans="1:22" x14ac:dyDescent="0.45">
      <c r="A608" s="293" t="s">
        <v>106</v>
      </c>
      <c r="B608" s="297" t="s">
        <v>8</v>
      </c>
      <c r="C608" s="293" t="str">
        <f t="shared" si="45"/>
        <v>RussiaManufacture of other transport equipment (C30)</v>
      </c>
      <c r="D608" s="297" t="s">
        <v>958</v>
      </c>
      <c r="E608" s="298">
        <v>11560.675789090001</v>
      </c>
      <c r="F608" s="298">
        <v>15354.24603319</v>
      </c>
      <c r="G608" s="302">
        <v>0.32814433284947353</v>
      </c>
      <c r="H608" s="303">
        <v>6010.6285355200007</v>
      </c>
      <c r="I608" s="298">
        <v>14618.879428730001</v>
      </c>
      <c r="J608" s="298">
        <v>15354.24603319</v>
      </c>
      <c r="K608" s="302">
        <v>5.0302528866529084E-2</v>
      </c>
      <c r="L608" s="298">
        <v>42054.874692869998</v>
      </c>
      <c r="M608" s="298">
        <v>47822.702572100003</v>
      </c>
      <c r="N608" s="298">
        <v>50142.73979503</v>
      </c>
      <c r="O608" s="306">
        <v>54628.53300594</v>
      </c>
      <c r="P608" s="306" cm="1">
        <f t="array" ref="P608">INDEX($E$302:$E$676, MATCH($B608, $B$302:$B$676, 0) * MATCH("Brazil", $A$302:$A$676, 0))</f>
        <v>357742.69163840002</v>
      </c>
      <c r="Q608" s="306">
        <f t="shared" si="46"/>
        <v>346182.01584931003</v>
      </c>
      <c r="R608" s="336">
        <f>INDEX('Base GDP'!$A$1:$E$76,MATCH(A608,'Base GDP'!$A$1:$A$76,0),4)</f>
        <v>1579786.0768998</v>
      </c>
      <c r="S608" s="336">
        <f>INDEX('Base GDP'!$A$1:$E$76,MATCH(A608,'Base GDP'!$A$1:$A$76,0),5)</f>
        <v>1741025.8573970001</v>
      </c>
      <c r="T608" s="335">
        <f t="shared" si="47"/>
        <v>9.2537082346100599E-3</v>
      </c>
      <c r="U608" s="335">
        <f t="shared" si="48"/>
        <v>8.8190798361525002E-3</v>
      </c>
      <c r="V608" s="335">
        <f t="shared" si="49"/>
        <v>-4.3462839845755975E-4</v>
      </c>
    </row>
    <row r="609" spans="1:22" x14ac:dyDescent="0.45">
      <c r="A609" s="293" t="s">
        <v>100</v>
      </c>
      <c r="B609" s="297" t="s">
        <v>8</v>
      </c>
      <c r="C609" s="293" t="str">
        <f t="shared" si="45"/>
        <v>JapanManufacture of other transport equipment (C30)</v>
      </c>
      <c r="D609" s="297" t="s">
        <v>958</v>
      </c>
      <c r="E609" s="298">
        <v>12731.633698920001</v>
      </c>
      <c r="F609" s="298">
        <v>12685.030561809999</v>
      </c>
      <c r="G609" s="302">
        <v>-3.660420823602184E-3</v>
      </c>
      <c r="H609" s="303">
        <v>7181.5864453500008</v>
      </c>
      <c r="I609" s="298">
        <v>15932.869781699999</v>
      </c>
      <c r="J609" s="298">
        <v>12685.030561809999</v>
      </c>
      <c r="K609" s="302">
        <v>-0.20384521209232298</v>
      </c>
      <c r="L609" s="298">
        <v>17071.984176869999</v>
      </c>
      <c r="M609" s="298">
        <v>18053.758071299999</v>
      </c>
      <c r="N609" s="298">
        <v>18790.216686610001</v>
      </c>
      <c r="O609" s="306">
        <v>20401.165431519999</v>
      </c>
      <c r="P609" s="306" cm="1">
        <f t="array" ref="P609">INDEX($E$302:$E$676, MATCH($B609, $B$302:$B$676, 0) * MATCH("Brazil", $A$302:$A$676, 0))</f>
        <v>357742.69163840002</v>
      </c>
      <c r="Q609" s="306">
        <f t="shared" si="46"/>
        <v>345011.05793948</v>
      </c>
      <c r="R609" s="336">
        <f>INDEX('Base GDP'!$A$1:$E$76,MATCH(A609,'Base GDP'!$A$1:$A$76,0),4)</f>
        <v>4983596.864085</v>
      </c>
      <c r="S609" s="336">
        <f>INDEX('Base GDP'!$A$1:$E$76,MATCH(A609,'Base GDP'!$A$1:$A$76,0),5)</f>
        <v>5032370.4042106001</v>
      </c>
      <c r="T609" s="335">
        <f t="shared" si="47"/>
        <v>3.1970623259121324E-3</v>
      </c>
      <c r="U609" s="335">
        <f t="shared" si="48"/>
        <v>2.5206869810688805E-3</v>
      </c>
      <c r="V609" s="335">
        <f t="shared" si="49"/>
        <v>-6.7637534484325194E-4</v>
      </c>
    </row>
    <row r="610" spans="1:22" x14ac:dyDescent="0.45">
      <c r="A610" s="293" t="s">
        <v>104</v>
      </c>
      <c r="B610" s="297" t="s">
        <v>8</v>
      </c>
      <c r="C610" s="293" t="str">
        <f t="shared" si="45"/>
        <v>South KoreaManufacture of other transport equipment (C30)</v>
      </c>
      <c r="D610" s="297" t="s">
        <v>958</v>
      </c>
      <c r="E610" s="298">
        <v>15650.162383209999</v>
      </c>
      <c r="F610" s="298">
        <v>10035.79493425</v>
      </c>
      <c r="G610" s="302">
        <v>-0.3587418016175522</v>
      </c>
      <c r="H610" s="303">
        <v>10100.115129639998</v>
      </c>
      <c r="I610" s="298">
        <v>12672.04459155</v>
      </c>
      <c r="J610" s="298">
        <v>10035.79493425</v>
      </c>
      <c r="K610" s="302">
        <v>-0.20803664619819207</v>
      </c>
      <c r="L610" s="298">
        <v>13798.61382981</v>
      </c>
      <c r="M610" s="298">
        <v>14914.655674330001</v>
      </c>
      <c r="N610" s="298">
        <v>15741.87475553</v>
      </c>
      <c r="O610" s="306">
        <v>17772.907512099999</v>
      </c>
      <c r="P610" s="306" cm="1">
        <f t="array" ref="P610">INDEX($E$302:$E$676, MATCH($B610, $B$302:$B$676, 0) * MATCH("Brazil", $A$302:$A$676, 0))</f>
        <v>357742.69163840002</v>
      </c>
      <c r="Q610" s="306">
        <f t="shared" si="46"/>
        <v>342092.52925519005</v>
      </c>
      <c r="R610" s="336">
        <f>INDEX('Base GDP'!$A$1:$E$76,MATCH(A610,'Base GDP'!$A$1:$A$76,0),4)</f>
        <v>1478297.0807395</v>
      </c>
      <c r="S610" s="336">
        <f>INDEX('Base GDP'!$A$1:$E$76,MATCH(A610,'Base GDP'!$A$1:$A$76,0),5)</f>
        <v>1710728.7967964001</v>
      </c>
      <c r="T610" s="335">
        <f t="shared" si="47"/>
        <v>8.5720554796813678E-3</v>
      </c>
      <c r="U610" s="335">
        <f t="shared" si="48"/>
        <v>5.8663856907322492E-3</v>
      </c>
      <c r="V610" s="335">
        <f t="shared" si="49"/>
        <v>-2.7056697889491187E-3</v>
      </c>
    </row>
    <row r="611" spans="1:22" x14ac:dyDescent="0.45">
      <c r="A611" s="293" t="s">
        <v>101</v>
      </c>
      <c r="B611" s="297" t="s">
        <v>8</v>
      </c>
      <c r="C611" s="293" t="str">
        <f t="shared" si="45"/>
        <v>ItalyManufacture of other transport equipment (C30)</v>
      </c>
      <c r="D611" s="297" t="s">
        <v>958</v>
      </c>
      <c r="E611" s="298">
        <v>7533.2299766300002</v>
      </c>
      <c r="F611" s="298">
        <v>8500.4642810000005</v>
      </c>
      <c r="G611" s="302">
        <v>0.12839569578661569</v>
      </c>
      <c r="H611" s="303">
        <v>1983.1827230600002</v>
      </c>
      <c r="I611" s="298">
        <v>7528.6302514500003</v>
      </c>
      <c r="J611" s="298">
        <v>8500.4642810000005</v>
      </c>
      <c r="K611" s="302">
        <v>0.12908510540318097</v>
      </c>
      <c r="L611" s="298">
        <v>10500.932449489999</v>
      </c>
      <c r="M611" s="298">
        <v>11093.9407173</v>
      </c>
      <c r="N611" s="298">
        <v>11440.79649705</v>
      </c>
      <c r="O611" s="306">
        <v>12022.16799007</v>
      </c>
      <c r="P611" s="306" cm="1">
        <f t="array" ref="P611">INDEX($E$302:$E$676, MATCH($B611, $B$302:$B$676, 0) * MATCH("Brazil", $A$302:$A$676, 0))</f>
        <v>357742.69163840002</v>
      </c>
      <c r="Q611" s="306">
        <f t="shared" si="46"/>
        <v>350209.46166177001</v>
      </c>
      <c r="R611" s="336">
        <f>INDEX('Base GDP'!$A$1:$E$76,MATCH(A611,'Base GDP'!$A$1:$A$76,0),4)</f>
        <v>1924364.2462229</v>
      </c>
      <c r="S611" s="336">
        <f>INDEX('Base GDP'!$A$1:$E$76,MATCH(A611,'Base GDP'!$A$1:$A$76,0),5)</f>
        <v>1980878.3634254001</v>
      </c>
      <c r="T611" s="335">
        <f t="shared" si="47"/>
        <v>3.9122688265628668E-3</v>
      </c>
      <c r="U611" s="335">
        <f t="shared" si="48"/>
        <v>4.2912600985255435E-3</v>
      </c>
      <c r="V611" s="335">
        <f t="shared" si="49"/>
        <v>3.7899127196267673E-4</v>
      </c>
    </row>
    <row r="612" spans="1:22" x14ac:dyDescent="0.45">
      <c r="A612" s="293" t="s">
        <v>63</v>
      </c>
      <c r="B612" s="297" t="s">
        <v>8</v>
      </c>
      <c r="C612" s="293" t="str">
        <f t="shared" si="45"/>
        <v>CanadaManufacture of other transport equipment (C30)</v>
      </c>
      <c r="D612" s="297" t="s">
        <v>958</v>
      </c>
      <c r="E612" s="298">
        <v>8715.5884063199992</v>
      </c>
      <c r="F612" s="298">
        <v>8414.2811215900001</v>
      </c>
      <c r="G612" s="302">
        <v>-3.4571077784204429E-2</v>
      </c>
      <c r="H612" s="303">
        <v>3165.5411527499991</v>
      </c>
      <c r="I612" s="298">
        <v>10388.46664495</v>
      </c>
      <c r="J612" s="298">
        <v>8414.2811215900001</v>
      </c>
      <c r="K612" s="302">
        <v>-0.19003627684742896</v>
      </c>
      <c r="L612" s="298">
        <v>9659.2930926999998</v>
      </c>
      <c r="M612" s="298">
        <v>10148.24101623</v>
      </c>
      <c r="N612" s="298">
        <v>10589.267453140001</v>
      </c>
      <c r="O612" s="306">
        <v>12093.16476277</v>
      </c>
      <c r="P612" s="306" cm="1">
        <f t="array" ref="P612">INDEX($E$302:$E$676, MATCH($B612, $B$302:$B$676, 0) * MATCH("Brazil", $A$302:$A$676, 0))</f>
        <v>357742.69163840002</v>
      </c>
      <c r="Q612" s="306">
        <f t="shared" si="46"/>
        <v>349027.10323208</v>
      </c>
      <c r="R612" s="336">
        <f>INDEX('Base GDP'!$A$1:$E$76,MATCH(A612,'Base GDP'!$A$1:$A$76,0),4)</f>
        <v>1599989.9756132001</v>
      </c>
      <c r="S612" s="336">
        <f>INDEX('Base GDP'!$A$1:$E$76,MATCH(A612,'Base GDP'!$A$1:$A$76,0),5)</f>
        <v>1743385.5162593001</v>
      </c>
      <c r="T612" s="335">
        <f t="shared" si="47"/>
        <v>6.4928323322579534E-3</v>
      </c>
      <c r="U612" s="335">
        <f t="shared" si="48"/>
        <v>4.8264030205115655E-3</v>
      </c>
      <c r="V612" s="335">
        <f t="shared" si="49"/>
        <v>-1.6664293117463879E-3</v>
      </c>
    </row>
    <row r="613" spans="1:22" x14ac:dyDescent="0.45">
      <c r="A613" s="293" t="s">
        <v>70</v>
      </c>
      <c r="B613" s="297" t="s">
        <v>8</v>
      </c>
      <c r="C613" s="293" t="str">
        <f t="shared" si="45"/>
        <v>IndiaManufacture of other transport equipment (C30)</v>
      </c>
      <c r="D613" s="297" t="s">
        <v>958</v>
      </c>
      <c r="E613" s="298">
        <v>3989.0381806700002</v>
      </c>
      <c r="F613" s="298">
        <v>6435.0389011899997</v>
      </c>
      <c r="G613" s="302">
        <v>0.61318057379665603</v>
      </c>
      <c r="H613" s="303">
        <v>1561.0090728999999</v>
      </c>
      <c r="I613" s="298">
        <v>4509.4080588699999</v>
      </c>
      <c r="J613" s="298">
        <v>6435.0389011899997</v>
      </c>
      <c r="K613" s="302">
        <v>0.42702519203873912</v>
      </c>
      <c r="L613" s="298">
        <v>8217.2932707799991</v>
      </c>
      <c r="M613" s="298">
        <v>9695.6612491300002</v>
      </c>
      <c r="N613" s="298">
        <v>10847.500905700001</v>
      </c>
      <c r="O613" s="306">
        <v>12959.56293663</v>
      </c>
      <c r="P613" s="306" cm="1">
        <f t="array" ref="P613">INDEX($E$302:$E$676, MATCH($B613, $B$302:$B$676, 0) * MATCH("Brazil", $A$302:$A$676, 0))</f>
        <v>357742.69163840002</v>
      </c>
      <c r="Q613" s="306">
        <f t="shared" si="46"/>
        <v>353753.65345773002</v>
      </c>
      <c r="R613" s="336">
        <f>INDEX('Base GDP'!$A$1:$E$76,MATCH(A613,'Base GDP'!$A$1:$A$76,0),4)</f>
        <v>2233583.9807687998</v>
      </c>
      <c r="S613" s="336">
        <f>INDEX('Base GDP'!$A$1:$E$76,MATCH(A613,'Base GDP'!$A$1:$A$76,0),5)</f>
        <v>2928405.219999</v>
      </c>
      <c r="T613" s="335">
        <f t="shared" si="47"/>
        <v>2.0189113539925466E-3</v>
      </c>
      <c r="U613" s="335">
        <f t="shared" si="48"/>
        <v>2.197455071191342E-3</v>
      </c>
      <c r="V613" s="335">
        <f t="shared" si="49"/>
        <v>1.7854371719879534E-4</v>
      </c>
    </row>
    <row r="614" spans="1:22" x14ac:dyDescent="0.45">
      <c r="A614" s="293" t="s">
        <v>99</v>
      </c>
      <c r="B614" s="297" t="s">
        <v>8</v>
      </c>
      <c r="C614" s="293" t="str">
        <f t="shared" si="45"/>
        <v>IndonesiaManufacture of other transport equipment (C30)</v>
      </c>
      <c r="D614" s="297" t="s">
        <v>958</v>
      </c>
      <c r="E614" s="298">
        <v>7456.5686453400003</v>
      </c>
      <c r="F614" s="298">
        <v>6238.9711786999997</v>
      </c>
      <c r="G614" s="302">
        <v>-0.16329192750085408</v>
      </c>
      <c r="H614" s="303">
        <v>1906.5213917700003</v>
      </c>
      <c r="I614" s="298">
        <v>6377.4613917300003</v>
      </c>
      <c r="J614" s="298">
        <v>6238.9711786999997</v>
      </c>
      <c r="K614" s="302">
        <v>-2.1715570588884847E-2</v>
      </c>
      <c r="L614" s="298">
        <v>7288.5333348499998</v>
      </c>
      <c r="M614" s="298">
        <v>8258.6410812600006</v>
      </c>
      <c r="N614" s="298">
        <v>8987.66928362</v>
      </c>
      <c r="O614" s="306">
        <v>10662.28979226</v>
      </c>
      <c r="P614" s="306" cm="1">
        <f t="array" ref="P614">INDEX($E$302:$E$676, MATCH($B614, $B$302:$B$676, 0) * MATCH("Brazil", $A$302:$A$676, 0))</f>
        <v>357742.69163840002</v>
      </c>
      <c r="Q614" s="306">
        <f t="shared" si="46"/>
        <v>350286.12299306004</v>
      </c>
      <c r="R614" s="336">
        <f>INDEX('Base GDP'!$A$1:$E$76,MATCH(A614,'Base GDP'!$A$1:$A$76,0),4)</f>
        <v>917924.88667253999</v>
      </c>
      <c r="S614" s="336">
        <f>INDEX('Base GDP'!$A$1:$E$76,MATCH(A614,'Base GDP'!$A$1:$A$76,0),5)</f>
        <v>1136354.4627425</v>
      </c>
      <c r="T614" s="335">
        <f t="shared" si="47"/>
        <v>6.9476941788212919E-3</v>
      </c>
      <c r="U614" s="335">
        <f t="shared" si="48"/>
        <v>5.4903389595907818E-3</v>
      </c>
      <c r="V614" s="335">
        <f t="shared" si="49"/>
        <v>-1.4573552192305101E-3</v>
      </c>
    </row>
    <row r="615" spans="1:22" x14ac:dyDescent="0.45">
      <c r="A615" s="293" t="s">
        <v>120</v>
      </c>
      <c r="B615" s="297" t="s">
        <v>8</v>
      </c>
      <c r="C615" s="293" t="str">
        <f t="shared" si="45"/>
        <v>AustraliaManufacture of other transport equipment (C30)</v>
      </c>
      <c r="D615" s="297" t="s">
        <v>958</v>
      </c>
      <c r="E615" s="298">
        <v>4943.4892023299999</v>
      </c>
      <c r="F615" s="298">
        <v>5587.22635988</v>
      </c>
      <c r="G615" s="302">
        <v>0.13021918956485012</v>
      </c>
      <c r="H615" s="303">
        <v>606.55805124000017</v>
      </c>
      <c r="I615" s="298">
        <v>5490.2310745499999</v>
      </c>
      <c r="J615" s="298">
        <v>5587.22635988</v>
      </c>
      <c r="K615" s="302">
        <v>1.7666885785485809E-2</v>
      </c>
      <c r="L615" s="298">
        <v>5844.6429266799996</v>
      </c>
      <c r="M615" s="298">
        <v>6251.5551091500001</v>
      </c>
      <c r="N615" s="298">
        <v>6528.7764786799999</v>
      </c>
      <c r="O615" s="306">
        <v>7229.0858793899997</v>
      </c>
      <c r="P615" s="306" cm="1">
        <f t="array" ref="P615">INDEX($E$302:$E$676, MATCH($B615, $B$302:$B$676, 0) * MATCH("Brazil", $A$302:$A$676, 0))</f>
        <v>357742.69163840002</v>
      </c>
      <c r="Q615" s="306">
        <f t="shared" si="46"/>
        <v>352799.20243607002</v>
      </c>
      <c r="R615" s="336">
        <f>INDEX('Base GDP'!$A$1:$E$76,MATCH(A615,'Base GDP'!$A$1:$A$76,0),4)</f>
        <v>1256563.3075111001</v>
      </c>
      <c r="S615" s="336">
        <f>INDEX('Base GDP'!$A$1:$E$76,MATCH(A615,'Base GDP'!$A$1:$A$76,0),5)</f>
        <v>1430586.2916371</v>
      </c>
      <c r="T615" s="335">
        <f t="shared" si="47"/>
        <v>4.3692435086494846E-3</v>
      </c>
      <c r="U615" s="335">
        <f t="shared" si="48"/>
        <v>3.9055500479360976E-3</v>
      </c>
      <c r="V615" s="335">
        <f t="shared" si="49"/>
        <v>-4.6369346071338698E-4</v>
      </c>
    </row>
    <row r="616" spans="1:22" x14ac:dyDescent="0.45">
      <c r="A616" s="293" t="s">
        <v>121</v>
      </c>
      <c r="B616" s="297" t="s">
        <v>8</v>
      </c>
      <c r="C616" s="293" t="str">
        <f t="shared" si="45"/>
        <v>SingaporeManufacture of other transport equipment (C30)</v>
      </c>
      <c r="D616" s="297" t="s">
        <v>958</v>
      </c>
      <c r="E616" s="298">
        <v>4738.9106801799999</v>
      </c>
      <c r="F616" s="298">
        <v>5025.1771154999997</v>
      </c>
      <c r="G616" s="302">
        <v>6.0407645266934207E-2</v>
      </c>
      <c r="H616" s="303">
        <v>811.13657339000019</v>
      </c>
      <c r="I616" s="298">
        <v>4351.8466226600003</v>
      </c>
      <c r="J616" s="298">
        <v>5025.1771154999997</v>
      </c>
      <c r="K616" s="302">
        <v>0.15472293746153132</v>
      </c>
      <c r="L616" s="298">
        <v>8315.5800209699992</v>
      </c>
      <c r="M616" s="298">
        <v>9114.0664508900009</v>
      </c>
      <c r="N616" s="298">
        <v>9665.8055665699994</v>
      </c>
      <c r="O616" s="306">
        <v>11269.768056659999</v>
      </c>
      <c r="P616" s="306" cm="1">
        <f t="array" ref="P616">INDEX($E$302:$E$676, MATCH($B616, $B$302:$B$676, 0) * MATCH("Brazil", $A$302:$A$676, 0))</f>
        <v>357742.69163840002</v>
      </c>
      <c r="Q616" s="306">
        <f t="shared" si="46"/>
        <v>353003.78095822001</v>
      </c>
      <c r="R616" s="336">
        <f>INDEX('Base GDP'!$A$1:$E$76,MATCH(A616,'Base GDP'!$A$1:$A$76,0),4)</f>
        <v>331298.98374970001</v>
      </c>
      <c r="S616" s="336">
        <f>INDEX('Base GDP'!$A$1:$E$76,MATCH(A616,'Base GDP'!$A$1:$A$76,0),5)</f>
        <v>394237.177708</v>
      </c>
      <c r="T616" s="335">
        <f t="shared" si="47"/>
        <v>1.3135707732649937E-2</v>
      </c>
      <c r="U616" s="335">
        <f t="shared" si="48"/>
        <v>1.2746583528005067E-2</v>
      </c>
      <c r="V616" s="335">
        <f t="shared" si="49"/>
        <v>-3.8912420464486987E-4</v>
      </c>
    </row>
    <row r="617" spans="1:22" x14ac:dyDescent="0.45">
      <c r="A617" s="293" t="s">
        <v>77</v>
      </c>
      <c r="B617" s="297" t="s">
        <v>8</v>
      </c>
      <c r="C617" s="293" t="str">
        <f t="shared" si="45"/>
        <v>SpainManufacture of other transport equipment (C30)</v>
      </c>
      <c r="D617" s="297" t="s">
        <v>958</v>
      </c>
      <c r="E617" s="298">
        <v>5592.8247194599999</v>
      </c>
      <c r="F617" s="298">
        <v>4452.2393319700004</v>
      </c>
      <c r="G617" s="302">
        <v>-0.20393726689151914</v>
      </c>
      <c r="H617" s="303">
        <v>42.777465889999803</v>
      </c>
      <c r="I617" s="298">
        <v>5428.7158933000001</v>
      </c>
      <c r="J617" s="298">
        <v>4452.2393319700004</v>
      </c>
      <c r="K617" s="302">
        <v>-0.17987247454506605</v>
      </c>
      <c r="L617" s="298">
        <v>5793.2690792599997</v>
      </c>
      <c r="M617" s="298">
        <v>6325.3126260199997</v>
      </c>
      <c r="N617" s="298">
        <v>6651.21072164</v>
      </c>
      <c r="O617" s="306">
        <v>7389.0497371700003</v>
      </c>
      <c r="P617" s="306" cm="1">
        <f t="array" ref="P617">INDEX($E$302:$E$676, MATCH($B617, $B$302:$B$676, 0) * MATCH("Brazil", $A$302:$A$676, 0))</f>
        <v>357742.69163840002</v>
      </c>
      <c r="Q617" s="306">
        <f t="shared" si="46"/>
        <v>352149.86691894004</v>
      </c>
      <c r="R617" s="336">
        <f>INDEX('Base GDP'!$A$1:$E$76,MATCH(A617,'Base GDP'!$A$1:$A$76,0),4)</f>
        <v>1259732.1048611</v>
      </c>
      <c r="S617" s="336">
        <f>INDEX('Base GDP'!$A$1:$E$76,MATCH(A617,'Base GDP'!$A$1:$A$76,0),5)</f>
        <v>1317888.2673469</v>
      </c>
      <c r="T617" s="335">
        <f t="shared" si="47"/>
        <v>4.3094209255693924E-3</v>
      </c>
      <c r="U617" s="335">
        <f t="shared" si="48"/>
        <v>3.3783132017200543E-3</v>
      </c>
      <c r="V617" s="335">
        <f t="shared" si="49"/>
        <v>-9.3110772384933814E-4</v>
      </c>
    </row>
    <row r="618" spans="1:22" x14ac:dyDescent="0.45">
      <c r="A618" s="293" t="s">
        <v>73</v>
      </c>
      <c r="B618" s="297" t="s">
        <v>8</v>
      </c>
      <c r="C618" s="293" t="str">
        <f t="shared" si="45"/>
        <v>TaiwanManufacture of other transport equipment (C30)</v>
      </c>
      <c r="D618" s="297" t="s">
        <v>958</v>
      </c>
      <c r="E618" s="298">
        <v>2563.8920478099999</v>
      </c>
      <c r="F618" s="298">
        <v>4065.3291949200002</v>
      </c>
      <c r="G618" s="302">
        <v>0.58560856662919303</v>
      </c>
      <c r="H618" s="303">
        <v>2986.1552057600002</v>
      </c>
      <c r="I618" s="298">
        <v>3220.66858017</v>
      </c>
      <c r="J618" s="298">
        <v>4065.3291949200002</v>
      </c>
      <c r="K618" s="302">
        <v>0.26226250659588679</v>
      </c>
      <c r="L618" s="298">
        <v>3924.4876878499999</v>
      </c>
      <c r="M618" s="298">
        <v>4209.8603052099998</v>
      </c>
      <c r="N618" s="298">
        <v>4228.1203036099996</v>
      </c>
      <c r="O618" s="306">
        <v>4400.5146025399999</v>
      </c>
      <c r="P618" s="306" cm="1">
        <f t="array" ref="P618">INDEX($E$302:$E$676, MATCH($B618, $B$302:$B$676, 0) * MATCH("Brazil", $A$302:$A$676, 0))</f>
        <v>357742.69163840002</v>
      </c>
      <c r="Q618" s="306">
        <f t="shared" si="46"/>
        <v>355178.79959059</v>
      </c>
      <c r="R618" s="336">
        <f>INDEX('Base GDP'!$A$1:$E$76,MATCH(A618,'Base GDP'!$A$1:$A$76,0),4)</f>
        <v>546880.06131035998</v>
      </c>
      <c r="S618" s="336">
        <f>INDEX('Base GDP'!$A$1:$E$76,MATCH(A618,'Base GDP'!$A$1:$A$76,0),5)</f>
        <v>674049.24440882006</v>
      </c>
      <c r="T618" s="335">
        <f t="shared" si="47"/>
        <v>5.8891680425376455E-3</v>
      </c>
      <c r="U618" s="335">
        <f t="shared" si="48"/>
        <v>6.0312050323348817E-3</v>
      </c>
      <c r="V618" s="335">
        <f t="shared" si="49"/>
        <v>1.4203698979723626E-4</v>
      </c>
    </row>
    <row r="619" spans="1:22" x14ac:dyDescent="0.45">
      <c r="A619" s="294" t="s">
        <v>18</v>
      </c>
      <c r="B619" s="299" t="s">
        <v>8</v>
      </c>
      <c r="C619" s="293" t="str">
        <f t="shared" si="45"/>
        <v>BrazilManufacture of other transport equipment (C30)</v>
      </c>
      <c r="D619" s="297" t="s">
        <v>958</v>
      </c>
      <c r="E619" s="300">
        <v>5550.0472535700001</v>
      </c>
      <c r="F619" s="300">
        <v>3835.61076761</v>
      </c>
      <c r="G619" s="304">
        <v>-0.30890484488347547</v>
      </c>
      <c r="H619" s="305">
        <v>0</v>
      </c>
      <c r="I619" s="300">
        <v>5788.2895820399999</v>
      </c>
      <c r="J619" s="300">
        <v>3835.61076761</v>
      </c>
      <c r="K619" s="304">
        <v>-0.33734988320017778</v>
      </c>
      <c r="L619" s="300">
        <v>5038.2272060499999</v>
      </c>
      <c r="M619" s="300">
        <v>5911.8657185800002</v>
      </c>
      <c r="N619" s="300">
        <v>6590.42199618</v>
      </c>
      <c r="O619" s="307">
        <v>7800.7639048199999</v>
      </c>
      <c r="P619" s="306" cm="1">
        <f t="array" ref="P619">INDEX($E$302:$E$676, MATCH($B619, $B$302:$B$676, 0) * MATCH("Brazil", $A$302:$A$676, 0))</f>
        <v>357742.69163840002</v>
      </c>
      <c r="Q619" s="306">
        <f t="shared" si="46"/>
        <v>352192.64438483003</v>
      </c>
      <c r="R619" s="336">
        <f>INDEX('Base GDP'!$A$1:$E$76,MATCH(A619,'Base GDP'!$A$1:$A$76,0),4)</f>
        <v>1855726.8356911</v>
      </c>
      <c r="S619" s="336">
        <f>INDEX('Base GDP'!$A$1:$E$76,MATCH(A619,'Base GDP'!$A$1:$A$76,0),5)</f>
        <v>1898091.4722179</v>
      </c>
      <c r="T619" s="335">
        <f t="shared" si="47"/>
        <v>3.1191495810235217E-3</v>
      </c>
      <c r="U619" s="335">
        <f t="shared" si="48"/>
        <v>2.0207723514653005E-3</v>
      </c>
      <c r="V619" s="335">
        <f t="shared" si="49"/>
        <v>-1.0983772295582212E-3</v>
      </c>
    </row>
    <row r="620" spans="1:22" x14ac:dyDescent="0.45">
      <c r="A620" s="293" t="s">
        <v>108</v>
      </c>
      <c r="B620" s="297" t="s">
        <v>8</v>
      </c>
      <c r="C620" s="293" t="str">
        <f t="shared" si="45"/>
        <v>TurkeyManufacture of other transport equipment (C30)</v>
      </c>
      <c r="D620" s="297" t="s">
        <v>958</v>
      </c>
      <c r="E620" s="298">
        <v>881.49944054000002</v>
      </c>
      <c r="F620" s="298">
        <v>2631.4612114800002</v>
      </c>
      <c r="G620" s="302">
        <v>1.9852103024228653</v>
      </c>
      <c r="H620" s="303">
        <v>4668.5478130299998</v>
      </c>
      <c r="I620" s="298">
        <v>1436.25453851</v>
      </c>
      <c r="J620" s="298">
        <v>2631.4612114800002</v>
      </c>
      <c r="K620" s="302">
        <v>0.83216911830261808</v>
      </c>
      <c r="L620" s="298">
        <v>4080.8010612899998</v>
      </c>
      <c r="M620" s="298">
        <v>4316.5116561300001</v>
      </c>
      <c r="N620" s="298">
        <v>4466.76409934</v>
      </c>
      <c r="O620" s="306">
        <v>5028.9310973900001</v>
      </c>
      <c r="P620" s="306" cm="1">
        <f t="array" ref="P620">INDEX($E$302:$E$676, MATCH($B620, $B$302:$B$676, 0) * MATCH("Brazil", $A$302:$A$676, 0))</f>
        <v>357742.69163840002</v>
      </c>
      <c r="Q620" s="306">
        <f t="shared" si="46"/>
        <v>356861.19219786004</v>
      </c>
      <c r="R620" s="336">
        <f>INDEX('Base GDP'!$A$1:$E$76,MATCH(A620,'Base GDP'!$A$1:$A$76,0),4)</f>
        <v>659235.83503077005</v>
      </c>
      <c r="S620" s="336">
        <f>INDEX('Base GDP'!$A$1:$E$76,MATCH(A620,'Base GDP'!$A$1:$A$76,0),5)</f>
        <v>865088.75381619995</v>
      </c>
      <c r="T620" s="335">
        <f t="shared" si="47"/>
        <v>2.1786657553938375E-3</v>
      </c>
      <c r="U620" s="335">
        <f t="shared" si="48"/>
        <v>3.0418395798948168E-3</v>
      </c>
      <c r="V620" s="335">
        <f t="shared" si="49"/>
        <v>8.6317382450097927E-4</v>
      </c>
    </row>
    <row r="621" spans="1:22" x14ac:dyDescent="0.45">
      <c r="A621" s="293" t="s">
        <v>74</v>
      </c>
      <c r="B621" s="297" t="s">
        <v>8</v>
      </c>
      <c r="C621" s="293" t="str">
        <f t="shared" si="45"/>
        <v>SwedenManufacture of other transport equipment (C30)</v>
      </c>
      <c r="D621" s="297" t="s">
        <v>958</v>
      </c>
      <c r="E621" s="298">
        <v>1921.12374963</v>
      </c>
      <c r="F621" s="298">
        <v>2546.1004494499998</v>
      </c>
      <c r="G621" s="302">
        <v>0.32531829349377817</v>
      </c>
      <c r="H621" s="303">
        <v>3628.92350394</v>
      </c>
      <c r="I621" s="298">
        <v>2719.1270535100002</v>
      </c>
      <c r="J621" s="298">
        <v>2546.1004494499998</v>
      </c>
      <c r="K621" s="302">
        <v>-6.3633144261003971E-2</v>
      </c>
      <c r="L621" s="298">
        <v>2794.3321983599999</v>
      </c>
      <c r="M621" s="298">
        <v>2886.2813258199999</v>
      </c>
      <c r="N621" s="298">
        <v>2941.6288008900001</v>
      </c>
      <c r="O621" s="306">
        <v>3125.34612668</v>
      </c>
      <c r="P621" s="306" cm="1">
        <f t="array" ref="P621">INDEX($E$302:$E$676, MATCH($B621, $B$302:$B$676, 0) * MATCH("Brazil", $A$302:$A$676, 0))</f>
        <v>357742.69163840002</v>
      </c>
      <c r="Q621" s="306">
        <f t="shared" si="46"/>
        <v>355821.56788877002</v>
      </c>
      <c r="R621" s="336">
        <f>INDEX('Base GDP'!$A$1:$E$76,MATCH(A621,'Base GDP'!$A$1:$A$76,0),4)</f>
        <v>490179.06760786998</v>
      </c>
      <c r="S621" s="336">
        <f>INDEX('Base GDP'!$A$1:$E$76,MATCH(A621,'Base GDP'!$A$1:$A$76,0),5)</f>
        <v>552840.30345001002</v>
      </c>
      <c r="T621" s="335">
        <f t="shared" si="47"/>
        <v>5.5472116889439035E-3</v>
      </c>
      <c r="U621" s="335">
        <f t="shared" si="48"/>
        <v>4.6054899282143751E-3</v>
      </c>
      <c r="V621" s="335">
        <f t="shared" si="49"/>
        <v>-9.4172176072952838E-4</v>
      </c>
    </row>
    <row r="622" spans="1:22" x14ac:dyDescent="0.45">
      <c r="A622" s="293" t="s">
        <v>75</v>
      </c>
      <c r="B622" s="297" t="s">
        <v>8</v>
      </c>
      <c r="C622" s="293" t="str">
        <f t="shared" si="45"/>
        <v>MexicoManufacture of other transport equipment (C30)</v>
      </c>
      <c r="D622" s="297" t="s">
        <v>958</v>
      </c>
      <c r="E622" s="298">
        <v>1073.84994413</v>
      </c>
      <c r="F622" s="298">
        <v>2539.4979664100001</v>
      </c>
      <c r="G622" s="302">
        <v>1.3648536560361073</v>
      </c>
      <c r="H622" s="303">
        <v>4476.19730944</v>
      </c>
      <c r="I622" s="298">
        <v>2737.4675034400002</v>
      </c>
      <c r="J622" s="298">
        <v>2539.4979664100001</v>
      </c>
      <c r="K622" s="302">
        <v>-7.231849758261033E-2</v>
      </c>
      <c r="L622" s="298">
        <v>3910.5496305800002</v>
      </c>
      <c r="M622" s="298">
        <v>4413.60248477</v>
      </c>
      <c r="N622" s="298">
        <v>4740.1780010399998</v>
      </c>
      <c r="O622" s="306">
        <v>5623.9124990999999</v>
      </c>
      <c r="P622" s="306" cm="1">
        <f t="array" ref="P622">INDEX($E$302:$E$676, MATCH($B622, $B$302:$B$676, 0) * MATCH("Brazil", $A$302:$A$676, 0))</f>
        <v>357742.69163840002</v>
      </c>
      <c r="Q622" s="306">
        <f t="shared" si="46"/>
        <v>356668.84169427003</v>
      </c>
      <c r="R622" s="336">
        <f>INDEX('Base GDP'!$A$1:$E$76,MATCH(A622,'Base GDP'!$A$1:$A$76,0),4)</f>
        <v>1239119.2771185001</v>
      </c>
      <c r="S622" s="336">
        <f>INDEX('Base GDP'!$A$1:$E$76,MATCH(A622,'Base GDP'!$A$1:$A$76,0),5)</f>
        <v>1262038.2891611001</v>
      </c>
      <c r="T622" s="335">
        <f t="shared" si="47"/>
        <v>2.2092041936477833E-3</v>
      </c>
      <c r="U622" s="335">
        <f t="shared" si="48"/>
        <v>2.0122194296482484E-3</v>
      </c>
      <c r="V622" s="335">
        <f t="shared" si="49"/>
        <v>-1.9698476399953495E-4</v>
      </c>
    </row>
    <row r="623" spans="1:22" x14ac:dyDescent="0.45">
      <c r="A623" s="293" t="s">
        <v>151</v>
      </c>
      <c r="B623" s="297" t="s">
        <v>8</v>
      </c>
      <c r="C623" s="293" t="str">
        <f t="shared" si="45"/>
        <v>NorwayManufacture of other transport equipment (C30)</v>
      </c>
      <c r="D623" s="297" t="s">
        <v>958</v>
      </c>
      <c r="E623" s="298">
        <v>2421.2190189100002</v>
      </c>
      <c r="F623" s="298">
        <v>2262.9784408400001</v>
      </c>
      <c r="G623" s="302">
        <v>-6.5355747181119472E-2</v>
      </c>
      <c r="H623" s="303">
        <v>3128.8282346599999</v>
      </c>
      <c r="I623" s="298">
        <v>2441.0338699200001</v>
      </c>
      <c r="J623" s="298">
        <v>2262.9784408400001</v>
      </c>
      <c r="K623" s="302">
        <v>-7.2942629462914965E-2</v>
      </c>
      <c r="L623" s="298">
        <v>2955.4103770800002</v>
      </c>
      <c r="M623" s="298">
        <v>3060.2930486800001</v>
      </c>
      <c r="N623" s="298">
        <v>3113.7275422900002</v>
      </c>
      <c r="O623" s="306">
        <v>3245.1439479800001</v>
      </c>
      <c r="P623" s="306" cm="1">
        <f t="array" ref="P623">INDEX($E$302:$E$676, MATCH($B623, $B$302:$B$676, 0) * MATCH("Brazil", $A$302:$A$676, 0))</f>
        <v>357742.69163840002</v>
      </c>
      <c r="Q623" s="306">
        <f t="shared" si="46"/>
        <v>355321.47261949</v>
      </c>
      <c r="R623" s="336">
        <f>INDEX('Base GDP'!$A$1:$E$76,MATCH(A623,'Base GDP'!$A$1:$A$76,0),4)</f>
        <v>386512.35690163</v>
      </c>
      <c r="S623" s="336">
        <f>INDEX('Base GDP'!$A$1:$E$76,MATCH(A623,'Base GDP'!$A$1:$A$76,0),5)</f>
        <v>418559.21595058002</v>
      </c>
      <c r="T623" s="335">
        <f t="shared" si="47"/>
        <v>6.3155390153315583E-3</v>
      </c>
      <c r="U623" s="335">
        <f t="shared" si="48"/>
        <v>5.4065908827275562E-3</v>
      </c>
      <c r="V623" s="335">
        <f t="shared" si="49"/>
        <v>-9.0894813260400213E-4</v>
      </c>
    </row>
    <row r="624" spans="1:22" x14ac:dyDescent="0.45">
      <c r="A624" s="293" t="s">
        <v>112</v>
      </c>
      <c r="B624" s="297" t="s">
        <v>8</v>
      </c>
      <c r="C624" s="293" t="str">
        <f t="shared" si="45"/>
        <v>PolandManufacture of other transport equipment (C30)</v>
      </c>
      <c r="D624" s="297" t="s">
        <v>958</v>
      </c>
      <c r="E624" s="298">
        <v>1511.6133101800001</v>
      </c>
      <c r="F624" s="298">
        <v>2203.7305487899998</v>
      </c>
      <c r="G624" s="302">
        <v>0.45786659455094614</v>
      </c>
      <c r="H624" s="303">
        <v>4038.43394339</v>
      </c>
      <c r="I624" s="298">
        <v>1741.82651119</v>
      </c>
      <c r="J624" s="298">
        <v>2203.7305487899998</v>
      </c>
      <c r="K624" s="302">
        <v>0.26518372216325448</v>
      </c>
      <c r="L624" s="298">
        <v>3016.86190876</v>
      </c>
      <c r="M624" s="298">
        <v>3471.6863518300001</v>
      </c>
      <c r="N624" s="298">
        <v>3730.5484664300002</v>
      </c>
      <c r="O624" s="306">
        <v>4214.7084665700004</v>
      </c>
      <c r="P624" s="306" cm="1">
        <f t="array" ref="P624">INDEX($E$302:$E$676, MATCH($B624, $B$302:$B$676, 0) * MATCH("Brazil", $A$302:$A$676, 0))</f>
        <v>357742.69163840002</v>
      </c>
      <c r="Q624" s="306">
        <f t="shared" si="46"/>
        <v>356231.07832822</v>
      </c>
      <c r="R624" s="336">
        <f>INDEX('Base GDP'!$A$1:$E$76,MATCH(A624,'Base GDP'!$A$1:$A$76,0),4)</f>
        <v>496555.53410177003</v>
      </c>
      <c r="S624" s="336">
        <f>INDEX('Base GDP'!$A$1:$E$76,MATCH(A624,'Base GDP'!$A$1:$A$76,0),5)</f>
        <v>623108.57565016998</v>
      </c>
      <c r="T624" s="335">
        <f t="shared" si="47"/>
        <v>3.5078181423168053E-3</v>
      </c>
      <c r="U624" s="335">
        <f t="shared" si="48"/>
        <v>3.5366718336215515E-3</v>
      </c>
      <c r="V624" s="335">
        <f t="shared" si="49"/>
        <v>2.8853691304746212E-5</v>
      </c>
    </row>
    <row r="625" spans="1:22" x14ac:dyDescent="0.45">
      <c r="A625" s="293" t="s">
        <v>124</v>
      </c>
      <c r="B625" s="297" t="s">
        <v>8</v>
      </c>
      <c r="C625" s="293" t="str">
        <f t="shared" si="45"/>
        <v>BangladeshManufacture of other transport equipment (C30)</v>
      </c>
      <c r="D625" s="297" t="s">
        <v>958</v>
      </c>
      <c r="E625" s="298">
        <v>660.67175170999997</v>
      </c>
      <c r="F625" s="298">
        <v>2150.2559152099998</v>
      </c>
      <c r="G625" s="302">
        <v>2.254650905906824</v>
      </c>
      <c r="H625" s="303">
        <v>4889.3755018600004</v>
      </c>
      <c r="I625" s="298">
        <v>1165.15567119</v>
      </c>
      <c r="J625" s="298">
        <v>2150.2559152099998</v>
      </c>
      <c r="K625" s="302">
        <v>0.84546663452609261</v>
      </c>
      <c r="L625" s="298">
        <v>3283.6126128999999</v>
      </c>
      <c r="M625" s="298">
        <v>4288.2759971699998</v>
      </c>
      <c r="N625" s="298">
        <v>5124.3378536800001</v>
      </c>
      <c r="O625" s="306">
        <v>7415.8341154399996</v>
      </c>
      <c r="P625" s="306" cm="1">
        <f t="array" ref="P625">INDEX($E$302:$E$676, MATCH($B625, $B$302:$B$676, 0) * MATCH("Brazil", $A$302:$A$676, 0))</f>
        <v>357742.69163840002</v>
      </c>
      <c r="Q625" s="306">
        <f t="shared" si="46"/>
        <v>357082.01988669002</v>
      </c>
      <c r="R625" s="336">
        <f>INDEX('Base GDP'!$A$1:$E$76,MATCH(A625,'Base GDP'!$A$1:$A$76,0),4)</f>
        <v>264392.25455249997</v>
      </c>
      <c r="S625" s="336">
        <f>INDEX('Base GDP'!$A$1:$E$76,MATCH(A625,'Base GDP'!$A$1:$A$76,0),5)</f>
        <v>386628.84638325998</v>
      </c>
      <c r="T625" s="335">
        <f t="shared" si="47"/>
        <v>4.4069205928974628E-3</v>
      </c>
      <c r="U625" s="335">
        <f t="shared" si="48"/>
        <v>5.5615506585312575E-3</v>
      </c>
      <c r="V625" s="335">
        <f t="shared" si="49"/>
        <v>1.1546300656337946E-3</v>
      </c>
    </row>
    <row r="626" spans="1:22" x14ac:dyDescent="0.45">
      <c r="A626" s="293" t="s">
        <v>122</v>
      </c>
      <c r="B626" s="297" t="s">
        <v>8</v>
      </c>
      <c r="C626" s="293" t="str">
        <f t="shared" si="45"/>
        <v>VietnamManufacture of other transport equipment (C30)</v>
      </c>
      <c r="D626" s="297" t="s">
        <v>958</v>
      </c>
      <c r="E626" s="298">
        <v>1414.26788867</v>
      </c>
      <c r="F626" s="298">
        <v>1886.98997024</v>
      </c>
      <c r="G626" s="302">
        <v>0.33425214936793579</v>
      </c>
      <c r="H626" s="303">
        <v>4135.7793648999996</v>
      </c>
      <c r="I626" s="298">
        <v>1664.00622939</v>
      </c>
      <c r="J626" s="298">
        <v>1886.98997024</v>
      </c>
      <c r="K626" s="302">
        <v>0.13400415029199886</v>
      </c>
      <c r="L626" s="298">
        <v>2456.7083032199998</v>
      </c>
      <c r="M626" s="298">
        <v>3298.7761487500002</v>
      </c>
      <c r="N626" s="298">
        <v>3995.6814303400001</v>
      </c>
      <c r="O626" s="306">
        <v>5219.7451380800003</v>
      </c>
      <c r="P626" s="306" cm="1">
        <f t="array" ref="P626">INDEX($E$302:$E$676, MATCH($B626, $B$302:$B$676, 0) * MATCH("Brazil", $A$302:$A$676, 0))</f>
        <v>357742.69163840002</v>
      </c>
      <c r="Q626" s="306">
        <f t="shared" si="46"/>
        <v>356328.42374973005</v>
      </c>
      <c r="R626" s="336">
        <f>INDEX('Base GDP'!$A$1:$E$76,MATCH(A626,'Base GDP'!$A$1:$A$76,0),4)</f>
        <v>254018.52751081</v>
      </c>
      <c r="S626" s="336">
        <f>INDEX('Base GDP'!$A$1:$E$76,MATCH(A626,'Base GDP'!$A$1:$A$76,0),5)</f>
        <v>352775.42056751001</v>
      </c>
      <c r="T626" s="335">
        <f t="shared" si="47"/>
        <v>6.5507277980705039E-3</v>
      </c>
      <c r="U626" s="335">
        <f t="shared" si="48"/>
        <v>5.3489836882751026E-3</v>
      </c>
      <c r="V626" s="335">
        <f t="shared" si="49"/>
        <v>-1.2017441097954013E-3</v>
      </c>
    </row>
    <row r="627" spans="1:22" x14ac:dyDescent="0.45">
      <c r="A627" s="293" t="s">
        <v>123</v>
      </c>
      <c r="B627" s="297" t="s">
        <v>8</v>
      </c>
      <c r="C627" s="293" t="str">
        <f t="shared" si="45"/>
        <v>IsraelManufacture of other transport equipment (C30)</v>
      </c>
      <c r="D627" s="297" t="s">
        <v>958</v>
      </c>
      <c r="E627" s="298">
        <v>1131.6034303399999</v>
      </c>
      <c r="F627" s="298">
        <v>1755.56013418</v>
      </c>
      <c r="G627" s="302">
        <v>0.55139166876909074</v>
      </c>
      <c r="H627" s="303">
        <v>4418.4438232299999</v>
      </c>
      <c r="I627" s="298">
        <v>1441.6044825399999</v>
      </c>
      <c r="J627" s="298">
        <v>1755.56013418</v>
      </c>
      <c r="K627" s="302">
        <v>0.21778210004371901</v>
      </c>
      <c r="L627" s="298">
        <v>2261.80051675</v>
      </c>
      <c r="M627" s="298">
        <v>2593.1868566399999</v>
      </c>
      <c r="N627" s="298">
        <v>2853.0453212500001</v>
      </c>
      <c r="O627" s="306">
        <v>3540.6302397600002</v>
      </c>
      <c r="P627" s="306" cm="1">
        <f t="array" ref="P627">INDEX($E$302:$E$676, MATCH($B627, $B$302:$B$676, 0) * MATCH("Brazil", $A$302:$A$676, 0))</f>
        <v>357742.69163840002</v>
      </c>
      <c r="Q627" s="306">
        <f t="shared" si="46"/>
        <v>356611.08820806001</v>
      </c>
      <c r="R627" s="336">
        <f>INDEX('Base GDP'!$A$1:$E$76,MATCH(A627,'Base GDP'!$A$1:$A$76,0),4)</f>
        <v>339252.33917334001</v>
      </c>
      <c r="S627" s="336">
        <f>INDEX('Base GDP'!$A$1:$E$76,MATCH(A627,'Base GDP'!$A$1:$A$76,0),5)</f>
        <v>430314.68651226</v>
      </c>
      <c r="T627" s="335">
        <f t="shared" si="47"/>
        <v>4.249357531484599E-3</v>
      </c>
      <c r="U627" s="335">
        <f t="shared" si="48"/>
        <v>4.0797123342662918E-3</v>
      </c>
      <c r="V627" s="335">
        <f t="shared" si="49"/>
        <v>-1.6964519721830718E-4</v>
      </c>
    </row>
    <row r="628" spans="1:22" x14ac:dyDescent="0.45">
      <c r="A628" s="293" t="s">
        <v>67</v>
      </c>
      <c r="B628" s="297" t="s">
        <v>8</v>
      </c>
      <c r="C628" s="293" t="str">
        <f t="shared" si="45"/>
        <v>SwitzerlandManufacture of other transport equipment (C30)</v>
      </c>
      <c r="D628" s="297" t="s">
        <v>958</v>
      </c>
      <c r="E628" s="298">
        <v>1343.8968223899999</v>
      </c>
      <c r="F628" s="298">
        <v>1718.7852709199999</v>
      </c>
      <c r="G628" s="302">
        <v>0.27895627274666412</v>
      </c>
      <c r="H628" s="303">
        <v>4206.1504311799999</v>
      </c>
      <c r="I628" s="298">
        <v>1906.28713075</v>
      </c>
      <c r="J628" s="298">
        <v>1718.7852709199999</v>
      </c>
      <c r="K628" s="302">
        <v>-9.8359715493767319E-2</v>
      </c>
      <c r="L628" s="298">
        <v>1885.6065698299999</v>
      </c>
      <c r="M628" s="298">
        <v>1935.7933287999999</v>
      </c>
      <c r="N628" s="298">
        <v>1944.6812589399999</v>
      </c>
      <c r="O628" s="306">
        <v>1930.6877918099999</v>
      </c>
      <c r="P628" s="306" cm="1">
        <f t="array" ref="P628">INDEX($E$302:$E$676, MATCH($B628, $B$302:$B$676, 0) * MATCH("Brazil", $A$302:$A$676, 0))</f>
        <v>357742.69163840002</v>
      </c>
      <c r="Q628" s="306">
        <f t="shared" si="46"/>
        <v>356398.79481601005</v>
      </c>
      <c r="R628" s="336">
        <f>INDEX('Base GDP'!$A$1:$E$76,MATCH(A628,'Base GDP'!$A$1:$A$76,0),4)</f>
        <v>669989.49931316997</v>
      </c>
      <c r="S628" s="336">
        <f>INDEX('Base GDP'!$A$1:$E$76,MATCH(A628,'Base GDP'!$A$1:$A$76,0),5)</f>
        <v>743458.79269773001</v>
      </c>
      <c r="T628" s="335">
        <f t="shared" si="47"/>
        <v>2.845249265405208E-3</v>
      </c>
      <c r="U628" s="335">
        <f t="shared" si="48"/>
        <v>2.3118769833674036E-3</v>
      </c>
      <c r="V628" s="335">
        <f t="shared" si="49"/>
        <v>-5.3337228203780441E-4</v>
      </c>
    </row>
    <row r="629" spans="1:22" x14ac:dyDescent="0.45">
      <c r="A629" s="293" t="s">
        <v>66</v>
      </c>
      <c r="B629" s="297" t="s">
        <v>8</v>
      </c>
      <c r="C629" s="293" t="str">
        <f t="shared" si="45"/>
        <v>NetherlandsManufacture of other transport equipment (C30)</v>
      </c>
      <c r="D629" s="297" t="s">
        <v>958</v>
      </c>
      <c r="E629" s="298">
        <v>2137.9989260000002</v>
      </c>
      <c r="F629" s="298">
        <v>1672.4599940099999</v>
      </c>
      <c r="G629" s="302">
        <v>-0.21774516643980779</v>
      </c>
      <c r="H629" s="303">
        <v>3412.0483275699999</v>
      </c>
      <c r="I629" s="298">
        <v>1745.95136166</v>
      </c>
      <c r="J629" s="298">
        <v>1672.4599940099999</v>
      </c>
      <c r="K629" s="302">
        <v>-4.2092448428876383E-2</v>
      </c>
      <c r="L629" s="298">
        <v>1798.1344822200001</v>
      </c>
      <c r="M629" s="298">
        <v>1877.3838219500001</v>
      </c>
      <c r="N629" s="298">
        <v>1918.5094716599999</v>
      </c>
      <c r="O629" s="306">
        <v>1993.5357824299999</v>
      </c>
      <c r="P629" s="306" cm="1">
        <f t="array" ref="P629">INDEX($E$302:$E$676, MATCH($B629, $B$302:$B$676, 0) * MATCH("Brazil", $A$302:$A$676, 0))</f>
        <v>357742.69163840002</v>
      </c>
      <c r="Q629" s="306">
        <f t="shared" si="46"/>
        <v>355604.69271239999</v>
      </c>
      <c r="R629" s="336">
        <f>INDEX('Base GDP'!$A$1:$E$76,MATCH(A629,'Base GDP'!$A$1:$A$76,0),4)</f>
        <v>829203.89806390996</v>
      </c>
      <c r="S629" s="336">
        <f>INDEX('Base GDP'!$A$1:$E$76,MATCH(A629,'Base GDP'!$A$1:$A$76,0),5)</f>
        <v>928325.09368340997</v>
      </c>
      <c r="T629" s="335">
        <f t="shared" si="47"/>
        <v>2.1055754389681281E-3</v>
      </c>
      <c r="U629" s="335">
        <f t="shared" si="48"/>
        <v>1.801588694940918E-3</v>
      </c>
      <c r="V629" s="335">
        <f t="shared" si="49"/>
        <v>-3.0398674402721008E-4</v>
      </c>
    </row>
    <row r="630" spans="1:22" x14ac:dyDescent="0.45">
      <c r="A630" s="293" t="s">
        <v>72</v>
      </c>
      <c r="B630" s="297" t="s">
        <v>8</v>
      </c>
      <c r="C630" s="293" t="str">
        <f t="shared" si="45"/>
        <v>AustriaManufacture of other transport equipment (C30)</v>
      </c>
      <c r="D630" s="297" t="s">
        <v>958</v>
      </c>
      <c r="E630" s="298">
        <v>877.65928478000001</v>
      </c>
      <c r="F630" s="298">
        <v>1569.3293025299999</v>
      </c>
      <c r="G630" s="302">
        <v>0.78808488640711927</v>
      </c>
      <c r="H630" s="303">
        <v>4672.3879687899998</v>
      </c>
      <c r="I630" s="298">
        <v>913.48151987999995</v>
      </c>
      <c r="J630" s="298">
        <v>1569.3293025299999</v>
      </c>
      <c r="K630" s="302">
        <v>0.71796502542947538</v>
      </c>
      <c r="L630" s="298">
        <v>1885.0562264800001</v>
      </c>
      <c r="M630" s="298">
        <v>1985.91163149</v>
      </c>
      <c r="N630" s="298">
        <v>2135.1323845100001</v>
      </c>
      <c r="O630" s="306">
        <v>2201.17521622</v>
      </c>
      <c r="P630" s="306" cm="1">
        <f t="array" ref="P630">INDEX($E$302:$E$676, MATCH($B630, $B$302:$B$676, 0) * MATCH("Brazil", $A$302:$A$676, 0))</f>
        <v>357742.69163840002</v>
      </c>
      <c r="Q630" s="306">
        <f t="shared" si="46"/>
        <v>356865.03235362004</v>
      </c>
      <c r="R630" s="336">
        <f>INDEX('Base GDP'!$A$1:$E$76,MATCH(A630,'Base GDP'!$A$1:$A$76,0),4)</f>
        <v>410010.85265116999</v>
      </c>
      <c r="S630" s="336">
        <f>INDEX('Base GDP'!$A$1:$E$76,MATCH(A630,'Base GDP'!$A$1:$A$76,0),5)</f>
        <v>432694.04992214998</v>
      </c>
      <c r="T630" s="335">
        <f t="shared" si="47"/>
        <v>2.2279447335926349E-3</v>
      </c>
      <c r="U630" s="335">
        <f t="shared" si="48"/>
        <v>3.6268797844859492E-3</v>
      </c>
      <c r="V630" s="335">
        <f t="shared" si="49"/>
        <v>1.3989350508933143E-3</v>
      </c>
    </row>
    <row r="631" spans="1:22" x14ac:dyDescent="0.45">
      <c r="A631" s="293" t="s">
        <v>111</v>
      </c>
      <c r="B631" s="297" t="s">
        <v>8</v>
      </c>
      <c r="C631" s="293" t="str">
        <f t="shared" si="45"/>
        <v>Czech RepublicManufacture of other transport equipment (C30)</v>
      </c>
      <c r="D631" s="297" t="s">
        <v>958</v>
      </c>
      <c r="E631" s="298">
        <v>723.30021108999995</v>
      </c>
      <c r="F631" s="298">
        <v>1264.9185333299999</v>
      </c>
      <c r="G631" s="302">
        <v>0.74881537974915191</v>
      </c>
      <c r="H631" s="303">
        <v>4826.7470424800003</v>
      </c>
      <c r="I631" s="298">
        <v>1130.5023361799999</v>
      </c>
      <c r="J631" s="298">
        <v>1264.9185333299999</v>
      </c>
      <c r="K631" s="302">
        <v>0.11889953063183945</v>
      </c>
      <c r="L631" s="298">
        <v>1176.57918481</v>
      </c>
      <c r="M631" s="298">
        <v>1247.2372937099999</v>
      </c>
      <c r="N631" s="298">
        <v>1311.96996758</v>
      </c>
      <c r="O631" s="306">
        <v>1373.74233439</v>
      </c>
      <c r="P631" s="306" cm="1">
        <f t="array" ref="P631">INDEX($E$302:$E$676, MATCH($B631, $B$302:$B$676, 0) * MATCH("Brazil", $A$302:$A$676, 0))</f>
        <v>357742.69163840002</v>
      </c>
      <c r="Q631" s="306">
        <f t="shared" si="46"/>
        <v>357019.39142731001</v>
      </c>
      <c r="R631" s="336">
        <f>INDEX('Base GDP'!$A$1:$E$76,MATCH(A631,'Base GDP'!$A$1:$A$76,0),4)</f>
        <v>220291.04889604999</v>
      </c>
      <c r="S631" s="336">
        <f>INDEX('Base GDP'!$A$1:$E$76,MATCH(A631,'Base GDP'!$A$1:$A$76,0),5)</f>
        <v>247058.51905223</v>
      </c>
      <c r="T631" s="335">
        <f t="shared" si="47"/>
        <v>5.1318577937928683E-3</v>
      </c>
      <c r="U631" s="335">
        <f t="shared" si="48"/>
        <v>5.1199146590148016E-3</v>
      </c>
      <c r="V631" s="335">
        <f t="shared" si="49"/>
        <v>-1.1943134778066682E-5</v>
      </c>
    </row>
    <row r="632" spans="1:22" x14ac:dyDescent="0.45">
      <c r="A632" s="293" t="s">
        <v>144</v>
      </c>
      <c r="B632" s="297" t="s">
        <v>8</v>
      </c>
      <c r="C632" s="293" t="str">
        <f t="shared" si="45"/>
        <v>MalaysiaManufacture of other transport equipment (C30)</v>
      </c>
      <c r="D632" s="297" t="s">
        <v>958</v>
      </c>
      <c r="E632" s="298">
        <v>472.56187301</v>
      </c>
      <c r="F632" s="298">
        <v>1131.45616475</v>
      </c>
      <c r="G632" s="302">
        <v>1.3943026921388069</v>
      </c>
      <c r="H632" s="303">
        <v>5077.4853805599996</v>
      </c>
      <c r="I632" s="298">
        <v>1081.74290114</v>
      </c>
      <c r="J632" s="298">
        <v>1131.45616475</v>
      </c>
      <c r="K632" s="302">
        <v>4.5956634943117747E-2</v>
      </c>
      <c r="L632" s="298">
        <v>1306.5470959199999</v>
      </c>
      <c r="M632" s="298">
        <v>1551.4967065799999</v>
      </c>
      <c r="N632" s="298">
        <v>1741.0294395200001</v>
      </c>
      <c r="O632" s="306">
        <v>2169.42153401</v>
      </c>
      <c r="P632" s="306" cm="1">
        <f t="array" ref="P632">INDEX($E$302:$E$676, MATCH($B632, $B$302:$B$676, 0) * MATCH("Brazil", $A$302:$A$676, 0))</f>
        <v>357742.69163840002</v>
      </c>
      <c r="Q632" s="306">
        <f t="shared" si="46"/>
        <v>357270.12976539001</v>
      </c>
      <c r="R632" s="336">
        <f>INDEX('Base GDP'!$A$1:$E$76,MATCH(A632,'Base GDP'!$A$1:$A$76,0),4)</f>
        <v>301830.41438700003</v>
      </c>
      <c r="S632" s="336">
        <f>INDEX('Base GDP'!$A$1:$E$76,MATCH(A632,'Base GDP'!$A$1:$A$76,0),5)</f>
        <v>356559.39228144003</v>
      </c>
      <c r="T632" s="335">
        <f t="shared" si="47"/>
        <v>3.583942669717221E-3</v>
      </c>
      <c r="U632" s="335">
        <f t="shared" si="48"/>
        <v>3.1732614236029359E-3</v>
      </c>
      <c r="V632" s="335">
        <f t="shared" si="49"/>
        <v>-4.1068124611428518E-4</v>
      </c>
    </row>
    <row r="633" spans="1:22" x14ac:dyDescent="0.45">
      <c r="A633" s="293" t="s">
        <v>118</v>
      </c>
      <c r="B633" s="297" t="s">
        <v>8</v>
      </c>
      <c r="C633" s="293" t="str">
        <f t="shared" si="45"/>
        <v>BelgiumManufacture of other transport equipment (C30)</v>
      </c>
      <c r="D633" s="297" t="s">
        <v>958</v>
      </c>
      <c r="E633" s="298">
        <v>697.44468613000004</v>
      </c>
      <c r="F633" s="298">
        <v>1013.55962038</v>
      </c>
      <c r="G633" s="302">
        <v>0.4532473191588382</v>
      </c>
      <c r="H633" s="303">
        <v>4852.6025674399998</v>
      </c>
      <c r="I633" s="298">
        <v>1002.65743237</v>
      </c>
      <c r="J633" s="298">
        <v>1013.55962038</v>
      </c>
      <c r="K633" s="302">
        <v>1.0873292969294734E-2</v>
      </c>
      <c r="L633" s="298">
        <v>1357.41982869</v>
      </c>
      <c r="M633" s="298">
        <v>1433.7142937599999</v>
      </c>
      <c r="N633" s="298">
        <v>1496.3441089200001</v>
      </c>
      <c r="O633" s="306">
        <v>1625.1707530799999</v>
      </c>
      <c r="P633" s="306" cm="1">
        <f t="array" ref="P633">INDEX($E$302:$E$676, MATCH($B633, $B$302:$B$676, 0) * MATCH("Brazil", $A$302:$A$676, 0))</f>
        <v>357742.69163840002</v>
      </c>
      <c r="Q633" s="306">
        <f t="shared" si="46"/>
        <v>357045.24695227004</v>
      </c>
      <c r="R633" s="336">
        <f>INDEX('Base GDP'!$A$1:$E$76,MATCH(A633,'Base GDP'!$A$1:$A$76,0),4)</f>
        <v>500331.50984029</v>
      </c>
      <c r="S633" s="336">
        <f>INDEX('Base GDP'!$A$1:$E$76,MATCH(A633,'Base GDP'!$A$1:$A$76,0),5)</f>
        <v>542439.84157398995</v>
      </c>
      <c r="T633" s="335">
        <f t="shared" si="47"/>
        <v>2.0039861824614176E-3</v>
      </c>
      <c r="U633" s="335">
        <f t="shared" si="48"/>
        <v>1.8685198665329753E-3</v>
      </c>
      <c r="V633" s="335">
        <f t="shared" si="49"/>
        <v>-1.3546631592844236E-4</v>
      </c>
    </row>
    <row r="634" spans="1:22" x14ac:dyDescent="0.45">
      <c r="A634" s="293" t="s">
        <v>109</v>
      </c>
      <c r="B634" s="297" t="s">
        <v>8</v>
      </c>
      <c r="C634" s="293" t="str">
        <f t="shared" si="45"/>
        <v>ThailandManufacture of other transport equipment (C30)</v>
      </c>
      <c r="D634" s="297" t="s">
        <v>958</v>
      </c>
      <c r="E634" s="298">
        <v>1283.72763272</v>
      </c>
      <c r="F634" s="298">
        <v>970.19543223000005</v>
      </c>
      <c r="G634" s="302">
        <v>-0.24423576504751143</v>
      </c>
      <c r="H634" s="303">
        <v>4266.3196208500003</v>
      </c>
      <c r="I634" s="298">
        <v>1081.1947976900001</v>
      </c>
      <c r="J634" s="298">
        <v>970.19543223000005</v>
      </c>
      <c r="K634" s="302">
        <v>-0.10266361408430102</v>
      </c>
      <c r="L634" s="298">
        <v>1189.3892349099999</v>
      </c>
      <c r="M634" s="298">
        <v>1378.8723630300001</v>
      </c>
      <c r="N634" s="298">
        <v>1488.1318580499999</v>
      </c>
      <c r="O634" s="306">
        <v>1836.71051674</v>
      </c>
      <c r="P634" s="306" cm="1">
        <f t="array" ref="P634">INDEX($E$302:$E$676, MATCH($B634, $B$302:$B$676, 0) * MATCH("Brazil", $A$302:$A$676, 0))</f>
        <v>357742.69163840002</v>
      </c>
      <c r="Q634" s="306">
        <f t="shared" si="46"/>
        <v>356458.96400568</v>
      </c>
      <c r="R634" s="336">
        <f>INDEX('Base GDP'!$A$1:$E$76,MATCH(A634,'Base GDP'!$A$1:$A$76,0),4)</f>
        <v>474324.68093352998</v>
      </c>
      <c r="S634" s="336">
        <f>INDEX('Base GDP'!$A$1:$E$76,MATCH(A634,'Base GDP'!$A$1:$A$76,0),5)</f>
        <v>518585.14704719</v>
      </c>
      <c r="T634" s="335">
        <f t="shared" si="47"/>
        <v>2.2794403098781919E-3</v>
      </c>
      <c r="U634" s="335">
        <f t="shared" si="48"/>
        <v>1.8708507903750561E-3</v>
      </c>
      <c r="V634" s="335">
        <f t="shared" si="49"/>
        <v>-4.0858951950313582E-4</v>
      </c>
    </row>
    <row r="635" spans="1:22" x14ac:dyDescent="0.45">
      <c r="A635" s="293" t="s">
        <v>149</v>
      </c>
      <c r="B635" s="297" t="s">
        <v>8</v>
      </c>
      <c r="C635" s="293" t="str">
        <f t="shared" si="45"/>
        <v>UkraineManufacture of other transport equipment (C30)</v>
      </c>
      <c r="D635" s="297" t="s">
        <v>958</v>
      </c>
      <c r="E635" s="298">
        <v>1423.6762771900001</v>
      </c>
      <c r="F635" s="298">
        <v>845.59824615000002</v>
      </c>
      <c r="G635" s="302">
        <v>-0.40604598131043468</v>
      </c>
      <c r="H635" s="303">
        <v>4126.3709763799998</v>
      </c>
      <c r="I635" s="298">
        <v>805.71669751000002</v>
      </c>
      <c r="J635" s="298">
        <v>845.59824615000002</v>
      </c>
      <c r="K635" s="302">
        <v>4.9498227805444106E-2</v>
      </c>
      <c r="L635" s="298">
        <v>703.75943772999995</v>
      </c>
      <c r="M635" s="298">
        <v>864.98358827000004</v>
      </c>
      <c r="N635" s="298">
        <v>1096.17528614</v>
      </c>
      <c r="O635" s="306">
        <v>1812.6385553600001</v>
      </c>
      <c r="P635" s="306" cm="1">
        <f t="array" ref="P635">INDEX($E$302:$E$676, MATCH($B635, $B$302:$B$676, 0) * MATCH("Brazil", $A$302:$A$676, 0))</f>
        <v>357742.69163840002</v>
      </c>
      <c r="Q635" s="306">
        <f t="shared" si="46"/>
        <v>356319.01536121004</v>
      </c>
      <c r="R635" s="336">
        <f>INDEX('Base GDP'!$A$1:$E$76,MATCH(A635,'Base GDP'!$A$1:$A$76,0),4)</f>
        <v>137743.94890503999</v>
      </c>
      <c r="S635" s="336">
        <f>INDEX('Base GDP'!$A$1:$E$76,MATCH(A635,'Base GDP'!$A$1:$A$76,0),5)</f>
        <v>153275.23415388001</v>
      </c>
      <c r="T635" s="335">
        <f t="shared" si="47"/>
        <v>5.8493799830398154E-3</v>
      </c>
      <c r="U635" s="335">
        <f t="shared" si="48"/>
        <v>5.5168615518216418E-3</v>
      </c>
      <c r="V635" s="335">
        <f t="shared" si="49"/>
        <v>-3.3251843121817354E-4</v>
      </c>
    </row>
    <row r="636" spans="1:22" x14ac:dyDescent="0.45">
      <c r="A636" s="293" t="s">
        <v>168</v>
      </c>
      <c r="B636" s="297" t="s">
        <v>8</v>
      </c>
      <c r="C636" s="293" t="str">
        <f t="shared" si="45"/>
        <v>TunisiaManufacture of other transport equipment (C30)</v>
      </c>
      <c r="D636" s="297" t="s">
        <v>958</v>
      </c>
      <c r="E636" s="298">
        <v>621.94840412999997</v>
      </c>
      <c r="F636" s="298">
        <v>794.22978403000002</v>
      </c>
      <c r="G636" s="302">
        <v>0.2770026882551333</v>
      </c>
      <c r="H636" s="303">
        <v>4928.0988494399999</v>
      </c>
      <c r="I636" s="298">
        <v>697.60504298000001</v>
      </c>
      <c r="J636" s="298">
        <v>794.22978403000002</v>
      </c>
      <c r="K636" s="302">
        <v>0.1385092353077646</v>
      </c>
      <c r="L636" s="298">
        <v>979.47592626000005</v>
      </c>
      <c r="M636" s="298">
        <v>1103.1797348499999</v>
      </c>
      <c r="N636" s="298">
        <v>1199.1007524300001</v>
      </c>
      <c r="O636" s="306">
        <v>1440.0979982700001</v>
      </c>
      <c r="P636" s="306" cm="1">
        <f t="array" ref="P636">INDEX($E$302:$E$676, MATCH($B636, $B$302:$B$676, 0) * MATCH("Brazil", $A$302:$A$676, 0))</f>
        <v>357742.69163840002</v>
      </c>
      <c r="Q636" s="306">
        <f t="shared" si="46"/>
        <v>357120.74323427002</v>
      </c>
      <c r="R636" s="336">
        <f>INDEX('Base GDP'!$A$1:$E$76,MATCH(A636,'Base GDP'!$A$1:$A$76,0),4)</f>
        <v>38884.65391288</v>
      </c>
      <c r="S636" s="336">
        <f>INDEX('Base GDP'!$A$1:$E$76,MATCH(A636,'Base GDP'!$A$1:$A$76,0),5)</f>
        <v>40072.692608359997</v>
      </c>
      <c r="T636" s="335">
        <f t="shared" si="47"/>
        <v>1.7940369086040086E-2</v>
      </c>
      <c r="U636" s="335">
        <f t="shared" si="48"/>
        <v>1.981972591141298E-2</v>
      </c>
      <c r="V636" s="335">
        <f t="shared" si="49"/>
        <v>1.8793568253728937E-3</v>
      </c>
    </row>
    <row r="637" spans="1:22" x14ac:dyDescent="0.45">
      <c r="A637" s="293" t="s">
        <v>150</v>
      </c>
      <c r="B637" s="297" t="s">
        <v>8</v>
      </c>
      <c r="C637" s="293" t="str">
        <f t="shared" si="45"/>
        <v>PhilippinesManufacture of other transport equipment (C30)</v>
      </c>
      <c r="D637" s="297" t="s">
        <v>958</v>
      </c>
      <c r="E637" s="298">
        <v>534.14304245000005</v>
      </c>
      <c r="F637" s="298">
        <v>706.29607430999999</v>
      </c>
      <c r="G637" s="302">
        <v>0.32229762100872961</v>
      </c>
      <c r="H637" s="303">
        <v>5015.9042111199997</v>
      </c>
      <c r="I637" s="298">
        <v>524.86180515000001</v>
      </c>
      <c r="J637" s="298">
        <v>706.29607430999999</v>
      </c>
      <c r="K637" s="302">
        <v>0.34568007688833058</v>
      </c>
      <c r="L637" s="298">
        <v>921.63014809000003</v>
      </c>
      <c r="M637" s="298">
        <v>1047.5155002399999</v>
      </c>
      <c r="N637" s="298">
        <v>1167.69922391</v>
      </c>
      <c r="O637" s="306">
        <v>1490.1241124799999</v>
      </c>
      <c r="P637" s="306" cm="1">
        <f t="array" ref="P637">INDEX($E$302:$E$676, MATCH($B637, $B$302:$B$676, 0) * MATCH("Brazil", $A$302:$A$676, 0))</f>
        <v>357742.69163840002</v>
      </c>
      <c r="Q637" s="306">
        <f t="shared" si="46"/>
        <v>357208.54859595001</v>
      </c>
      <c r="R637" s="336">
        <f>INDEX('Base GDP'!$A$1:$E$76,MATCH(A637,'Base GDP'!$A$1:$A$76,0),4)</f>
        <v>291518.00825125998</v>
      </c>
      <c r="S637" s="336">
        <f>INDEX('Base GDP'!$A$1:$E$76,MATCH(A637,'Base GDP'!$A$1:$A$76,0),5)</f>
        <v>360513.15606205998</v>
      </c>
      <c r="T637" s="335">
        <f t="shared" si="47"/>
        <v>1.8004438501021197E-3</v>
      </c>
      <c r="U637" s="335">
        <f t="shared" si="48"/>
        <v>1.95914091464783E-3</v>
      </c>
      <c r="V637" s="335">
        <f t="shared" si="49"/>
        <v>1.5869706454571032E-4</v>
      </c>
    </row>
    <row r="638" spans="1:22" x14ac:dyDescent="0.45">
      <c r="A638" s="293" t="s">
        <v>162</v>
      </c>
      <c r="B638" s="297" t="s">
        <v>8</v>
      </c>
      <c r="C638" s="293" t="str">
        <f t="shared" si="45"/>
        <v>RomaniaManufacture of other transport equipment (C30)</v>
      </c>
      <c r="D638" s="297" t="s">
        <v>958</v>
      </c>
      <c r="E638" s="298">
        <v>425.58576617</v>
      </c>
      <c r="F638" s="298">
        <v>693.30741652999995</v>
      </c>
      <c r="G638" s="302">
        <v>0.62906626969535129</v>
      </c>
      <c r="H638" s="303">
        <v>5124.4614873999999</v>
      </c>
      <c r="I638" s="298">
        <v>648.82097083999997</v>
      </c>
      <c r="J638" s="298">
        <v>693.30741652999995</v>
      </c>
      <c r="K638" s="302">
        <v>6.8565055214546033E-2</v>
      </c>
      <c r="L638" s="298">
        <v>846.10577573</v>
      </c>
      <c r="M638" s="298">
        <v>940.06758993999995</v>
      </c>
      <c r="N638" s="298">
        <v>1009.79094117</v>
      </c>
      <c r="O638" s="306">
        <v>1145.77152849</v>
      </c>
      <c r="P638" s="306" cm="1">
        <f t="array" ref="P638">INDEX($E$302:$E$676, MATCH($B638, $B$302:$B$676, 0) * MATCH("Brazil", $A$302:$A$676, 0))</f>
        <v>357742.69163840002</v>
      </c>
      <c r="Q638" s="306">
        <f t="shared" si="46"/>
        <v>357317.10587223002</v>
      </c>
      <c r="R638" s="336">
        <f>INDEX('Base GDP'!$A$1:$E$76,MATCH(A638,'Base GDP'!$A$1:$A$76,0),4)</f>
        <v>204518.17392167001</v>
      </c>
      <c r="S638" s="336">
        <f>INDEX('Base GDP'!$A$1:$E$76,MATCH(A638,'Base GDP'!$A$1:$A$76,0),5)</f>
        <v>254974.25152873</v>
      </c>
      <c r="T638" s="335">
        <f t="shared" si="47"/>
        <v>3.1724367492568014E-3</v>
      </c>
      <c r="U638" s="335">
        <f t="shared" si="48"/>
        <v>2.7191271760704802E-3</v>
      </c>
      <c r="V638" s="335">
        <f t="shared" si="49"/>
        <v>-4.5330957318632115E-4</v>
      </c>
    </row>
    <row r="639" spans="1:22" x14ac:dyDescent="0.45">
      <c r="A639" s="293" t="s">
        <v>163</v>
      </c>
      <c r="B639" s="297" t="s">
        <v>8</v>
      </c>
      <c r="C639" s="293" t="str">
        <f t="shared" si="45"/>
        <v>New ZealandManufacture of other transport equipment (C30)</v>
      </c>
      <c r="D639" s="297" t="s">
        <v>958</v>
      </c>
      <c r="E639" s="298">
        <v>405.07991971000001</v>
      </c>
      <c r="F639" s="298">
        <v>612.95294137999997</v>
      </c>
      <c r="G639" s="302">
        <v>0.51316545589032891</v>
      </c>
      <c r="H639" s="303">
        <v>5144.9673338600005</v>
      </c>
      <c r="I639" s="298">
        <v>382.36478440000002</v>
      </c>
      <c r="J639" s="298">
        <v>612.95294137999997</v>
      </c>
      <c r="K639" s="302">
        <v>0.60305803878313413</v>
      </c>
      <c r="L639" s="298">
        <v>604.88586950000001</v>
      </c>
      <c r="M639" s="298">
        <v>632.74354324000001</v>
      </c>
      <c r="N639" s="298">
        <v>655.71648546999995</v>
      </c>
      <c r="O639" s="306">
        <v>710.84455515000002</v>
      </c>
      <c r="P639" s="306" cm="1">
        <f t="array" ref="P639">INDEX($E$302:$E$676, MATCH($B639, $B$302:$B$676, 0) * MATCH("Brazil", $A$302:$A$676, 0))</f>
        <v>357742.69163840002</v>
      </c>
      <c r="Q639" s="306">
        <f t="shared" si="46"/>
        <v>357337.61171869002</v>
      </c>
      <c r="R639" s="336">
        <f>INDEX('Base GDP'!$A$1:$E$76,MATCH(A639,'Base GDP'!$A$1:$A$76,0),4)</f>
        <v>180884.85070677</v>
      </c>
      <c r="S639" s="336">
        <f>INDEX('Base GDP'!$A$1:$E$76,MATCH(A639,'Base GDP'!$A$1:$A$76,0),5)</f>
        <v>220909.49174857</v>
      </c>
      <c r="T639" s="335">
        <f t="shared" si="47"/>
        <v>2.1138574231395774E-3</v>
      </c>
      <c r="U639" s="335">
        <f t="shared" si="48"/>
        <v>2.7746790621275682E-3</v>
      </c>
      <c r="V639" s="335">
        <f t="shared" si="49"/>
        <v>6.608216389879908E-4</v>
      </c>
    </row>
    <row r="640" spans="1:22" x14ac:dyDescent="0.45">
      <c r="A640" s="293" t="s">
        <v>143</v>
      </c>
      <c r="B640" s="297" t="s">
        <v>8</v>
      </c>
      <c r="C640" s="293" t="str">
        <f t="shared" si="45"/>
        <v>United Arab EmiratesManufacture of other transport equipment (C30)</v>
      </c>
      <c r="D640" s="297" t="s">
        <v>958</v>
      </c>
      <c r="E640" s="298">
        <v>402.41837415999998</v>
      </c>
      <c r="F640" s="298">
        <v>610.79716887999996</v>
      </c>
      <c r="G640" s="302">
        <v>0.51781630288369818</v>
      </c>
      <c r="H640" s="303">
        <v>5147.6288794100001</v>
      </c>
      <c r="I640" s="298">
        <v>480.77208139999999</v>
      </c>
      <c r="J640" s="298">
        <v>610.79716887999996</v>
      </c>
      <c r="K640" s="302">
        <v>0.27045057837254016</v>
      </c>
      <c r="L640" s="298">
        <v>612.03157099999999</v>
      </c>
      <c r="M640" s="298">
        <v>675.12793280999995</v>
      </c>
      <c r="N640" s="298">
        <v>723.12026804000004</v>
      </c>
      <c r="O640" s="306">
        <v>837.98131476000003</v>
      </c>
      <c r="P640" s="306" cm="1">
        <f t="array" ref="P640">INDEX($E$302:$E$676, MATCH($B640, $B$302:$B$676, 0) * MATCH("Brazil", $A$302:$A$676, 0))</f>
        <v>357742.69163840002</v>
      </c>
      <c r="Q640" s="306">
        <f t="shared" si="46"/>
        <v>357340.27326424001</v>
      </c>
      <c r="R640" s="336">
        <f>INDEX('Base GDP'!$A$1:$E$76,MATCH(A640,'Base GDP'!$A$1:$A$76,0),4)</f>
        <v>383753.13090967003</v>
      </c>
      <c r="S640" s="336">
        <f>INDEX('Base GDP'!$A$1:$E$76,MATCH(A640,'Base GDP'!$A$1:$A$76,0),5)</f>
        <v>414599.77007557999</v>
      </c>
      <c r="T640" s="335">
        <f t="shared" si="47"/>
        <v>1.252816049370987E-3</v>
      </c>
      <c r="U640" s="335">
        <f t="shared" si="48"/>
        <v>1.4732211953920136E-3</v>
      </c>
      <c r="V640" s="335">
        <f t="shared" si="49"/>
        <v>2.2040514602102656E-4</v>
      </c>
    </row>
    <row r="641" spans="1:22" x14ac:dyDescent="0.45">
      <c r="A641" s="293" t="s">
        <v>126</v>
      </c>
      <c r="B641" s="297" t="s">
        <v>8</v>
      </c>
      <c r="C641" s="293" t="str">
        <f t="shared" si="45"/>
        <v>FinlandManufacture of other transport equipment (C30)</v>
      </c>
      <c r="D641" s="297" t="s">
        <v>958</v>
      </c>
      <c r="E641" s="298">
        <v>471.49211987000001</v>
      </c>
      <c r="F641" s="298">
        <v>503.94359400000002</v>
      </c>
      <c r="G641" s="302">
        <v>6.8827182390550856E-2</v>
      </c>
      <c r="H641" s="303">
        <v>5078.5551336999997</v>
      </c>
      <c r="I641" s="298">
        <v>420.54933728999998</v>
      </c>
      <c r="J641" s="298">
        <v>503.94359400000002</v>
      </c>
      <c r="K641" s="302">
        <v>0.19829839049893327</v>
      </c>
      <c r="L641" s="298">
        <v>660.08038933</v>
      </c>
      <c r="M641" s="298">
        <v>683.14271055999995</v>
      </c>
      <c r="N641" s="298">
        <v>696.39491905</v>
      </c>
      <c r="O641" s="306">
        <v>741.21965244</v>
      </c>
      <c r="P641" s="306" cm="1">
        <f t="array" ref="P641">INDEX($E$302:$E$676, MATCH($B641, $B$302:$B$676, 0) * MATCH("Brazil", $A$302:$A$676, 0))</f>
        <v>357742.69163840002</v>
      </c>
      <c r="Q641" s="306">
        <f t="shared" si="46"/>
        <v>357271.19951853005</v>
      </c>
      <c r="R641" s="336">
        <f>INDEX('Base GDP'!$A$1:$E$76,MATCH(A641,'Base GDP'!$A$1:$A$76,0),4)</f>
        <v>247207.29862345001</v>
      </c>
      <c r="S641" s="336">
        <f>INDEX('Base GDP'!$A$1:$E$76,MATCH(A641,'Base GDP'!$A$1:$A$76,0),5)</f>
        <v>270499.52733732999</v>
      </c>
      <c r="T641" s="335">
        <f t="shared" si="47"/>
        <v>1.7012011361791839E-3</v>
      </c>
      <c r="U641" s="335">
        <f t="shared" si="48"/>
        <v>1.8630109965831864E-3</v>
      </c>
      <c r="V641" s="335">
        <f t="shared" si="49"/>
        <v>1.6180986040400256E-4</v>
      </c>
    </row>
    <row r="642" spans="1:22" x14ac:dyDescent="0.45">
      <c r="A642" s="293" t="s">
        <v>159</v>
      </c>
      <c r="B642" s="297" t="s">
        <v>8</v>
      </c>
      <c r="C642" s="293" t="str">
        <f t="shared" ref="C642:C676" si="50">A642&amp;B642</f>
        <v>KuwaitManufacture of other transport equipment (C30)</v>
      </c>
      <c r="D642" s="297" t="s">
        <v>958</v>
      </c>
      <c r="E642" s="298">
        <v>474.06230913000002</v>
      </c>
      <c r="F642" s="298">
        <v>459.25100182</v>
      </c>
      <c r="G642" s="302">
        <v>-3.1243376713879112E-2</v>
      </c>
      <c r="H642" s="303">
        <v>5075.9849444399997</v>
      </c>
      <c r="I642" s="298">
        <v>397.19771985</v>
      </c>
      <c r="J642" s="298">
        <v>459.25100182</v>
      </c>
      <c r="K642" s="302">
        <v>0.15622768930656039</v>
      </c>
      <c r="L642" s="298">
        <v>571.70619771999998</v>
      </c>
      <c r="M642" s="298">
        <v>608.81230850999998</v>
      </c>
      <c r="N642" s="298">
        <v>627.02198734000001</v>
      </c>
      <c r="O642" s="306">
        <v>671.65544180999996</v>
      </c>
      <c r="P642" s="306" cm="1">
        <f t="array" ref="P642">INDEX($E$302:$E$676, MATCH($B642, $B$302:$B$676, 0) * MATCH("Brazil", $A$302:$A$676, 0))</f>
        <v>357742.69163840002</v>
      </c>
      <c r="Q642" s="306">
        <f t="shared" si="46"/>
        <v>357268.62932927004</v>
      </c>
      <c r="R642" s="336">
        <f>INDEX('Base GDP'!$A$1:$E$76,MATCH(A642,'Base GDP'!$A$1:$A$76,0),4)</f>
        <v>136318.13330372999</v>
      </c>
      <c r="S642" s="336">
        <f>INDEX('Base GDP'!$A$1:$E$76,MATCH(A642,'Base GDP'!$A$1:$A$76,0),5)</f>
        <v>128320.86664452001</v>
      </c>
      <c r="T642" s="335">
        <f t="shared" si="47"/>
        <v>2.9137555673903271E-3</v>
      </c>
      <c r="U642" s="335">
        <f t="shared" si="48"/>
        <v>3.578926902763499E-3</v>
      </c>
      <c r="V642" s="335">
        <f t="shared" si="49"/>
        <v>6.6517133537317193E-4</v>
      </c>
    </row>
    <row r="643" spans="1:22" x14ac:dyDescent="0.45">
      <c r="A643" s="293" t="s">
        <v>156</v>
      </c>
      <c r="B643" s="297" t="s">
        <v>8</v>
      </c>
      <c r="C643" s="293" t="str">
        <f t="shared" si="50"/>
        <v>GreeceManufacture of other transport equipment (C30)</v>
      </c>
      <c r="D643" s="297" t="s">
        <v>958</v>
      </c>
      <c r="E643" s="298">
        <v>194.24695892</v>
      </c>
      <c r="F643" s="298">
        <v>340.05192617</v>
      </c>
      <c r="G643" s="302">
        <v>0.75061647328053827</v>
      </c>
      <c r="H643" s="303">
        <v>5355.8002946500001</v>
      </c>
      <c r="I643" s="298">
        <v>361.92746771999998</v>
      </c>
      <c r="J643" s="298">
        <v>340.05192617</v>
      </c>
      <c r="K643" s="302">
        <v>-6.0441783232997648E-2</v>
      </c>
      <c r="L643" s="298">
        <v>434.63115749000002</v>
      </c>
      <c r="M643" s="298">
        <v>470.27962097</v>
      </c>
      <c r="N643" s="298">
        <v>494.42123086999999</v>
      </c>
      <c r="O643" s="306">
        <v>549.91964685999994</v>
      </c>
      <c r="P643" s="306" cm="1">
        <f t="array" ref="P643">INDEX($E$302:$E$676, MATCH($B643, $B$302:$B$676, 0) * MATCH("Brazil", $A$302:$A$676, 0))</f>
        <v>357742.69163840002</v>
      </c>
      <c r="Q643" s="306">
        <f t="shared" ref="Q643:Q676" si="51">P643-E643</f>
        <v>357548.44467948005</v>
      </c>
      <c r="R643" s="336">
        <f>INDEX('Base GDP'!$A$1:$E$76,MATCH(A643,'Base GDP'!$A$1:$A$76,0),4)</f>
        <v>196841.83448053</v>
      </c>
      <c r="S643" s="336">
        <f>INDEX('Base GDP'!$A$1:$E$76,MATCH(A643,'Base GDP'!$A$1:$A$76,0),5)</f>
        <v>201121.93838619001</v>
      </c>
      <c r="T643" s="335">
        <f t="shared" ref="T643:T676" si="52">I643/R643</f>
        <v>1.8386714829961561E-3</v>
      </c>
      <c r="U643" s="335">
        <f t="shared" ref="U643:U676" si="53">J643/S643</f>
        <v>1.6907749045111111E-3</v>
      </c>
      <c r="V643" s="335">
        <f t="shared" ref="V643:V676" si="54">U643-T643</f>
        <v>-1.4789657848504503E-4</v>
      </c>
    </row>
    <row r="644" spans="1:22" x14ac:dyDescent="0.45">
      <c r="A644" s="293" t="s">
        <v>145</v>
      </c>
      <c r="B644" s="297" t="s">
        <v>8</v>
      </c>
      <c r="C644" s="293" t="str">
        <f t="shared" si="50"/>
        <v>South AfricaManufacture of other transport equipment (C30)</v>
      </c>
      <c r="D644" s="297" t="s">
        <v>958</v>
      </c>
      <c r="E644" s="298">
        <v>455.20920690999998</v>
      </c>
      <c r="F644" s="298">
        <v>319.95871976000001</v>
      </c>
      <c r="G644" s="302">
        <v>-0.29711720478610737</v>
      </c>
      <c r="H644" s="303">
        <v>5094.8380466600001</v>
      </c>
      <c r="I644" s="298">
        <v>445.12802356999998</v>
      </c>
      <c r="J644" s="298">
        <v>319.95871976000001</v>
      </c>
      <c r="K644" s="302">
        <v>-0.28119843546609702</v>
      </c>
      <c r="L644" s="298">
        <v>345.50353440999999</v>
      </c>
      <c r="M644" s="298">
        <v>356.20589004999999</v>
      </c>
      <c r="N644" s="298">
        <v>367.60741121000001</v>
      </c>
      <c r="O644" s="306">
        <v>394.91797604999999</v>
      </c>
      <c r="P644" s="306" cm="1">
        <f t="array" ref="P644">INDEX($E$302:$E$676, MATCH($B644, $B$302:$B$676, 0) * MATCH("Brazil", $A$302:$A$676, 0))</f>
        <v>357742.69163840002</v>
      </c>
      <c r="Q644" s="306">
        <f t="shared" si="51"/>
        <v>357287.48243149003</v>
      </c>
      <c r="R644" s="336">
        <f>INDEX('Base GDP'!$A$1:$E$76,MATCH(A644,'Base GDP'!$A$1:$A$76,0),4)</f>
        <v>375376.48654821003</v>
      </c>
      <c r="S644" s="336">
        <f>INDEX('Base GDP'!$A$1:$E$76,MATCH(A644,'Base GDP'!$A$1:$A$76,0),5)</f>
        <v>383209.69906191999</v>
      </c>
      <c r="T644" s="335">
        <f t="shared" si="52"/>
        <v>1.1858175445755622E-3</v>
      </c>
      <c r="U644" s="335">
        <f t="shared" si="53"/>
        <v>8.3494421081523897E-4</v>
      </c>
      <c r="V644" s="335">
        <f t="shared" si="54"/>
        <v>-3.5087333376032323E-4</v>
      </c>
    </row>
    <row r="645" spans="1:22" x14ac:dyDescent="0.45">
      <c r="A645" s="293" t="s">
        <v>164</v>
      </c>
      <c r="B645" s="297" t="s">
        <v>8</v>
      </c>
      <c r="C645" s="293" t="str">
        <f t="shared" si="50"/>
        <v>MoroccoManufacture of other transport equipment (C30)</v>
      </c>
      <c r="D645" s="297" t="s">
        <v>958</v>
      </c>
      <c r="E645" s="298">
        <v>178.89141287999999</v>
      </c>
      <c r="F645" s="298">
        <v>312.58872389999999</v>
      </c>
      <c r="G645" s="302">
        <v>0.74736572799994549</v>
      </c>
      <c r="H645" s="303">
        <v>5371.1558406900003</v>
      </c>
      <c r="I645" s="298">
        <v>237.84938764</v>
      </c>
      <c r="J645" s="298">
        <v>312.58872389999999</v>
      </c>
      <c r="K645" s="302">
        <v>0.31422967703041849</v>
      </c>
      <c r="L645" s="298">
        <v>388.76886224999998</v>
      </c>
      <c r="M645" s="298">
        <v>421.06051020000001</v>
      </c>
      <c r="N645" s="298">
        <v>408.25785404999999</v>
      </c>
      <c r="O645" s="306">
        <v>470.87376297999998</v>
      </c>
      <c r="P645" s="306" cm="1">
        <f t="array" ref="P645">INDEX($E$302:$E$676, MATCH($B645, $B$302:$B$676, 0) * MATCH("Brazil", $A$302:$A$676, 0))</f>
        <v>357742.69163840002</v>
      </c>
      <c r="Q645" s="306">
        <f t="shared" si="51"/>
        <v>357563.80022552004</v>
      </c>
      <c r="R645" s="336">
        <f>INDEX('Base GDP'!$A$1:$E$76,MATCH(A645,'Base GDP'!$A$1:$A$76,0),4)</f>
        <v>115608.87885166</v>
      </c>
      <c r="S645" s="336">
        <f>INDEX('Base GDP'!$A$1:$E$76,MATCH(A645,'Base GDP'!$A$1:$A$76,0),5)</f>
        <v>129710.11086108</v>
      </c>
      <c r="T645" s="335">
        <f t="shared" si="52"/>
        <v>2.0573626351414512E-3</v>
      </c>
      <c r="U645" s="335">
        <f t="shared" si="53"/>
        <v>2.4099025266795405E-3</v>
      </c>
      <c r="V645" s="335">
        <f t="shared" si="54"/>
        <v>3.5253989153808925E-4</v>
      </c>
    </row>
    <row r="646" spans="1:22" x14ac:dyDescent="0.45">
      <c r="A646" s="293" t="s">
        <v>113</v>
      </c>
      <c r="B646" s="297" t="s">
        <v>8</v>
      </c>
      <c r="C646" s="293" t="str">
        <f t="shared" si="50"/>
        <v>HungaryManufacture of other transport equipment (C30)</v>
      </c>
      <c r="D646" s="297" t="s">
        <v>958</v>
      </c>
      <c r="E646" s="298">
        <v>153.49272336000001</v>
      </c>
      <c r="F646" s="298">
        <v>300.07843909000002</v>
      </c>
      <c r="G646" s="302">
        <v>0.95500107445614613</v>
      </c>
      <c r="H646" s="303">
        <v>5396.5545302099999</v>
      </c>
      <c r="I646" s="298">
        <v>177.63639001999999</v>
      </c>
      <c r="J646" s="298">
        <v>300.07843909000002</v>
      </c>
      <c r="K646" s="302">
        <v>0.68928471838576733</v>
      </c>
      <c r="L646" s="298">
        <v>434.89597418</v>
      </c>
      <c r="M646" s="298">
        <v>504.17653818999997</v>
      </c>
      <c r="N646" s="298">
        <v>535.19518932999995</v>
      </c>
      <c r="O646" s="306">
        <v>640.63552191999997</v>
      </c>
      <c r="P646" s="306" cm="1">
        <f t="array" ref="P646">INDEX($E$302:$E$676, MATCH($B646, $B$302:$B$676, 0) * MATCH("Brazil", $A$302:$A$676, 0))</f>
        <v>357742.69163840002</v>
      </c>
      <c r="Q646" s="306">
        <f t="shared" si="51"/>
        <v>357589.19891504</v>
      </c>
      <c r="R646" s="336">
        <f>INDEX('Base GDP'!$A$1:$E$76,MATCH(A646,'Base GDP'!$A$1:$A$76,0),4)</f>
        <v>139098.07965294999</v>
      </c>
      <c r="S646" s="336">
        <f>INDEX('Base GDP'!$A$1:$E$76,MATCH(A646,'Base GDP'!$A$1:$A$76,0),5)</f>
        <v>167320.49519441</v>
      </c>
      <c r="T646" s="335">
        <f t="shared" si="52"/>
        <v>1.2770585364169165E-3</v>
      </c>
      <c r="U646" s="335">
        <f t="shared" si="53"/>
        <v>1.7934350405868589E-3</v>
      </c>
      <c r="V646" s="335">
        <f t="shared" si="54"/>
        <v>5.1637650416994237E-4</v>
      </c>
    </row>
    <row r="647" spans="1:22" x14ac:dyDescent="0.45">
      <c r="A647" s="293" t="s">
        <v>102</v>
      </c>
      <c r="B647" s="297" t="s">
        <v>8</v>
      </c>
      <c r="C647" s="293" t="str">
        <f t="shared" si="50"/>
        <v>NigeriaManufacture of other transport equipment (C30)</v>
      </c>
      <c r="D647" s="297" t="s">
        <v>958</v>
      </c>
      <c r="E647" s="298">
        <v>228.15115058999999</v>
      </c>
      <c r="F647" s="298">
        <v>298.66546463999998</v>
      </c>
      <c r="G647" s="302">
        <v>0.30906841305708799</v>
      </c>
      <c r="H647" s="303">
        <v>5321.8961029800003</v>
      </c>
      <c r="I647" s="298">
        <v>317.51632222000001</v>
      </c>
      <c r="J647" s="298">
        <v>298.66546463999998</v>
      </c>
      <c r="K647" s="302">
        <v>-5.9369727666909289E-2</v>
      </c>
      <c r="L647" s="298">
        <v>338.92766716</v>
      </c>
      <c r="M647" s="298">
        <v>368.36310635000001</v>
      </c>
      <c r="N647" s="298">
        <v>391.40336072000002</v>
      </c>
      <c r="O647" s="306">
        <v>446.32192225</v>
      </c>
      <c r="P647" s="306" cm="1">
        <f t="array" ref="P647">INDEX($E$302:$E$676, MATCH($B647, $B$302:$B$676, 0) * MATCH("Brazil", $A$302:$A$676, 0))</f>
        <v>357742.69163840002</v>
      </c>
      <c r="Q647" s="306">
        <f t="shared" si="51"/>
        <v>357514.54048781004</v>
      </c>
      <c r="R647" s="336">
        <f>INDEX('Base GDP'!$A$1:$E$76,MATCH(A647,'Base GDP'!$A$1:$A$76,0),4)</f>
        <v>460034.71302222001</v>
      </c>
      <c r="S647" s="336">
        <f>INDEX('Base GDP'!$A$1:$E$76,MATCH(A647,'Base GDP'!$A$1:$A$76,0),5)</f>
        <v>483780.49839321</v>
      </c>
      <c r="T647" s="335">
        <f t="shared" si="52"/>
        <v>6.9020078970576234E-4</v>
      </c>
      <c r="U647" s="335">
        <f t="shared" si="53"/>
        <v>6.1735738755895218E-4</v>
      </c>
      <c r="V647" s="335">
        <f t="shared" si="54"/>
        <v>-7.2843402146810163E-5</v>
      </c>
    </row>
    <row r="648" spans="1:22" x14ac:dyDescent="0.45">
      <c r="A648" s="293" t="s">
        <v>116</v>
      </c>
      <c r="B648" s="297" t="s">
        <v>8</v>
      </c>
      <c r="C648" s="293" t="str">
        <f t="shared" si="50"/>
        <v>DenmarkManufacture of other transport equipment (C30)</v>
      </c>
      <c r="D648" s="297" t="s">
        <v>958</v>
      </c>
      <c r="E648" s="298">
        <v>383.99463865000001</v>
      </c>
      <c r="F648" s="298">
        <v>287.43219658999999</v>
      </c>
      <c r="G648" s="302">
        <v>-0.25146820382566304</v>
      </c>
      <c r="H648" s="303">
        <v>5166.0526149200005</v>
      </c>
      <c r="I648" s="298">
        <v>246.71071506000001</v>
      </c>
      <c r="J648" s="298">
        <v>287.43219658999999</v>
      </c>
      <c r="K648" s="302">
        <v>0.16505761219206283</v>
      </c>
      <c r="L648" s="298">
        <v>274.55705662000003</v>
      </c>
      <c r="M648" s="298">
        <v>279.53887756</v>
      </c>
      <c r="N648" s="298">
        <v>283.31319608000001</v>
      </c>
      <c r="O648" s="306">
        <v>289.61669972999999</v>
      </c>
      <c r="P648" s="306" cm="1">
        <f t="array" ref="P648">INDEX($E$302:$E$676, MATCH($B648, $B$302:$B$676, 0) * MATCH("Brazil", $A$302:$A$676, 0))</f>
        <v>357742.69163840002</v>
      </c>
      <c r="Q648" s="306">
        <f t="shared" si="51"/>
        <v>357358.69699975004</v>
      </c>
      <c r="R648" s="336">
        <f>INDEX('Base GDP'!$A$1:$E$76,MATCH(A648,'Base GDP'!$A$1:$A$76,0),4)</f>
        <v>315318.76572541997</v>
      </c>
      <c r="S648" s="336">
        <f>INDEX('Base GDP'!$A$1:$E$76,MATCH(A648,'Base GDP'!$A$1:$A$76,0),5)</f>
        <v>361238.79673869</v>
      </c>
      <c r="T648" s="335">
        <f t="shared" si="52"/>
        <v>7.8241684884316738E-4</v>
      </c>
      <c r="U648" s="335">
        <f t="shared" si="53"/>
        <v>7.9568473592807462E-4</v>
      </c>
      <c r="V648" s="335">
        <f t="shared" si="54"/>
        <v>1.3267887084907233E-5</v>
      </c>
    </row>
    <row r="649" spans="1:22" x14ac:dyDescent="0.45">
      <c r="A649" s="293" t="s">
        <v>107</v>
      </c>
      <c r="B649" s="297" t="s">
        <v>8</v>
      </c>
      <c r="C649" s="293" t="str">
        <f t="shared" si="50"/>
        <v>IranManufacture of other transport equipment (C30)</v>
      </c>
      <c r="D649" s="297" t="s">
        <v>958</v>
      </c>
      <c r="E649" s="298">
        <v>391.82191438000001</v>
      </c>
      <c r="F649" s="298">
        <v>272.42702824999998</v>
      </c>
      <c r="G649" s="302">
        <v>-0.30471722419845937</v>
      </c>
      <c r="H649" s="303">
        <v>5158.2253391900003</v>
      </c>
      <c r="I649" s="298">
        <v>278.23585622000002</v>
      </c>
      <c r="J649" s="298">
        <v>272.42702824999998</v>
      </c>
      <c r="K649" s="302">
        <v>-2.0877352218065748E-2</v>
      </c>
      <c r="L649" s="298">
        <v>322.80926782</v>
      </c>
      <c r="M649" s="298">
        <v>343.05308126</v>
      </c>
      <c r="N649" s="298">
        <v>347.83911554000002</v>
      </c>
      <c r="O649" s="306">
        <v>365.61367144000002</v>
      </c>
      <c r="P649" s="306" cm="1">
        <f t="array" ref="P649">INDEX($E$302:$E$676, MATCH($B649, $B$302:$B$676, 0) * MATCH("Brazil", $A$302:$A$676, 0))</f>
        <v>357742.69163840002</v>
      </c>
      <c r="Q649" s="306">
        <f t="shared" si="51"/>
        <v>357350.86972402001</v>
      </c>
      <c r="R649" s="336">
        <f>INDEX('Base GDP'!$A$1:$E$76,MATCH(A649,'Base GDP'!$A$1:$A$76,0),4)</f>
        <v>195024.47923529</v>
      </c>
      <c r="S649" s="336">
        <f>INDEX('Base GDP'!$A$1:$E$76,MATCH(A649,'Base GDP'!$A$1:$A$76,0),5)</f>
        <v>224406.94908081999</v>
      </c>
      <c r="T649" s="335">
        <f t="shared" si="52"/>
        <v>1.4266714481740443E-3</v>
      </c>
      <c r="U649" s="335">
        <f t="shared" si="53"/>
        <v>1.2139865960741063E-3</v>
      </c>
      <c r="V649" s="335">
        <f t="shared" si="54"/>
        <v>-2.1268485209993801E-4</v>
      </c>
    </row>
    <row r="650" spans="1:22" x14ac:dyDescent="0.45">
      <c r="A650" s="293" t="s">
        <v>105</v>
      </c>
      <c r="B650" s="297" t="s">
        <v>8</v>
      </c>
      <c r="C650" s="293" t="str">
        <f t="shared" si="50"/>
        <v>Saudi ArabiaManufacture of other transport equipment (C30)</v>
      </c>
      <c r="D650" s="297" t="s">
        <v>958</v>
      </c>
      <c r="E650" s="298">
        <v>232.61662047999999</v>
      </c>
      <c r="F650" s="298">
        <v>260.62174872999998</v>
      </c>
      <c r="G650" s="302">
        <v>0.12039177678796964</v>
      </c>
      <c r="H650" s="303">
        <v>5317.4306330899999</v>
      </c>
      <c r="I650" s="298">
        <v>261.34175647000001</v>
      </c>
      <c r="J650" s="298">
        <v>260.62174872999998</v>
      </c>
      <c r="K650" s="302">
        <v>-2.7550428593016152E-3</v>
      </c>
      <c r="L650" s="298">
        <v>301.82503634</v>
      </c>
      <c r="M650" s="298">
        <v>329.81927873000001</v>
      </c>
      <c r="N650" s="298">
        <v>365.49562092000002</v>
      </c>
      <c r="O650" s="306">
        <v>432.93345110000001</v>
      </c>
      <c r="P650" s="306" cm="1">
        <f t="array" ref="P650">INDEX($E$302:$E$676, MATCH($B650, $B$302:$B$676, 0) * MATCH("Brazil", $A$302:$A$676, 0))</f>
        <v>357742.69163840002</v>
      </c>
      <c r="Q650" s="306">
        <f t="shared" si="51"/>
        <v>357510.07501792</v>
      </c>
      <c r="R650" s="336">
        <f>INDEX('Base GDP'!$A$1:$E$76,MATCH(A650,'Base GDP'!$A$1:$A$76,0),4)</f>
        <v>791157.39281293005</v>
      </c>
      <c r="S650" s="336">
        <f>INDEX('Base GDP'!$A$1:$E$76,MATCH(A650,'Base GDP'!$A$1:$A$76,0),5)</f>
        <v>836861.61444072996</v>
      </c>
      <c r="T650" s="335">
        <f t="shared" si="52"/>
        <v>3.3032840095294984E-4</v>
      </c>
      <c r="U650" s="335">
        <f t="shared" si="53"/>
        <v>3.1142753381533945E-4</v>
      </c>
      <c r="V650" s="335">
        <f t="shared" si="54"/>
        <v>-1.8900867137610386E-5</v>
      </c>
    </row>
    <row r="651" spans="1:22" x14ac:dyDescent="0.45">
      <c r="A651" s="293" t="s">
        <v>154</v>
      </c>
      <c r="B651" s="297" t="s">
        <v>8</v>
      </c>
      <c r="C651" s="293" t="str">
        <f t="shared" si="50"/>
        <v>PakistanManufacture of other transport equipment (C30)</v>
      </c>
      <c r="D651" s="297" t="s">
        <v>958</v>
      </c>
      <c r="E651" s="298">
        <v>260.92677173999999</v>
      </c>
      <c r="F651" s="298">
        <v>255.47177551999999</v>
      </c>
      <c r="G651" s="302">
        <v>-2.0906234280304581E-2</v>
      </c>
      <c r="H651" s="303">
        <v>5289.1204818300002</v>
      </c>
      <c r="I651" s="298">
        <v>245.5836027</v>
      </c>
      <c r="J651" s="298">
        <v>255.47177551999999</v>
      </c>
      <c r="K651" s="302">
        <v>4.0263978178051163E-2</v>
      </c>
      <c r="L651" s="298">
        <v>336.10392585</v>
      </c>
      <c r="M651" s="298">
        <v>424.40675199999998</v>
      </c>
      <c r="N651" s="298">
        <v>487.91190768000001</v>
      </c>
      <c r="O651" s="306">
        <v>660.78968560999999</v>
      </c>
      <c r="P651" s="306" cm="1">
        <f t="array" ref="P651">INDEX($E$302:$E$676, MATCH($B651, $B$302:$B$676, 0) * MATCH("Brazil", $A$302:$A$676, 0))</f>
        <v>357742.69163840002</v>
      </c>
      <c r="Q651" s="306">
        <f t="shared" si="51"/>
        <v>357481.76486666</v>
      </c>
      <c r="R651" s="336">
        <f>INDEX('Base GDP'!$A$1:$E$76,MATCH(A651,'Base GDP'!$A$1:$A$76,0),4)</f>
        <v>243681.57424943999</v>
      </c>
      <c r="S651" s="336">
        <f>INDEX('Base GDP'!$A$1:$E$76,MATCH(A651,'Base GDP'!$A$1:$A$76,0),5)</f>
        <v>307178.14587732003</v>
      </c>
      <c r="T651" s="335">
        <f t="shared" si="52"/>
        <v>1.0078053847789618E-3</v>
      </c>
      <c r="U651" s="335">
        <f t="shared" si="53"/>
        <v>8.3167301759165383E-4</v>
      </c>
      <c r="V651" s="335">
        <f t="shared" si="54"/>
        <v>-1.7613236718730797E-4</v>
      </c>
    </row>
    <row r="652" spans="1:22" x14ac:dyDescent="0.45">
      <c r="A652" s="293" t="s">
        <v>161</v>
      </c>
      <c r="B652" s="297" t="s">
        <v>8</v>
      </c>
      <c r="C652" s="293" t="str">
        <f t="shared" si="50"/>
        <v>PortugalManufacture of other transport equipment (C30)</v>
      </c>
      <c r="D652" s="297" t="s">
        <v>958</v>
      </c>
      <c r="E652" s="298">
        <v>150.48727875</v>
      </c>
      <c r="F652" s="298">
        <v>224.25725725999999</v>
      </c>
      <c r="G652" s="302">
        <v>0.49020740572066446</v>
      </c>
      <c r="H652" s="303">
        <v>5399.5599748200002</v>
      </c>
      <c r="I652" s="298">
        <v>153.19541620999999</v>
      </c>
      <c r="J652" s="298">
        <v>224.25725725999999</v>
      </c>
      <c r="K652" s="302">
        <v>0.46386401635273833</v>
      </c>
      <c r="L652" s="298">
        <v>260.19902463</v>
      </c>
      <c r="M652" s="298">
        <v>282.10036567999998</v>
      </c>
      <c r="N652" s="298">
        <v>297.09170963000003</v>
      </c>
      <c r="O652" s="306">
        <v>336.11958353</v>
      </c>
      <c r="P652" s="306" cm="1">
        <f t="array" ref="P652">INDEX($E$302:$E$676, MATCH($B652, $B$302:$B$676, 0) * MATCH("Brazil", $A$302:$A$676, 0))</f>
        <v>357742.69163840002</v>
      </c>
      <c r="Q652" s="306">
        <f t="shared" si="51"/>
        <v>357592.20435965003</v>
      </c>
      <c r="R652" s="336">
        <f>INDEX('Base GDP'!$A$1:$E$76,MATCH(A652,'Base GDP'!$A$1:$A$76,0),4)</f>
        <v>215192.52938671</v>
      </c>
      <c r="S652" s="336">
        <f>INDEX('Base GDP'!$A$1:$E$76,MATCH(A652,'Base GDP'!$A$1:$A$76,0),5)</f>
        <v>232686.90641277001</v>
      </c>
      <c r="T652" s="335">
        <f t="shared" si="52"/>
        <v>7.1189932404531293E-4</v>
      </c>
      <c r="U652" s="335">
        <f t="shared" si="53"/>
        <v>9.6377256768450726E-4</v>
      </c>
      <c r="V652" s="335">
        <f t="shared" si="54"/>
        <v>2.5187324363919433E-4</v>
      </c>
    </row>
    <row r="653" spans="1:22" x14ac:dyDescent="0.45">
      <c r="A653" s="293" t="s">
        <v>152</v>
      </c>
      <c r="B653" s="297" t="s">
        <v>8</v>
      </c>
      <c r="C653" s="293" t="str">
        <f t="shared" si="50"/>
        <v>ColombiaManufacture of other transport equipment (C30)</v>
      </c>
      <c r="D653" s="297" t="s">
        <v>958</v>
      </c>
      <c r="E653" s="298">
        <v>122.31358864000001</v>
      </c>
      <c r="F653" s="298">
        <v>209.57859167999999</v>
      </c>
      <c r="G653" s="302">
        <v>0.71345305137635262</v>
      </c>
      <c r="H653" s="303">
        <v>5427.7336649300005</v>
      </c>
      <c r="I653" s="298">
        <v>181.89055083</v>
      </c>
      <c r="J653" s="298">
        <v>209.57859167999999</v>
      </c>
      <c r="K653" s="302">
        <v>0.15222363516771154</v>
      </c>
      <c r="L653" s="298">
        <v>272.74616995000002</v>
      </c>
      <c r="M653" s="298">
        <v>319.28288349000002</v>
      </c>
      <c r="N653" s="298">
        <v>350.74430380000001</v>
      </c>
      <c r="O653" s="306">
        <v>424.06545169999998</v>
      </c>
      <c r="P653" s="306" cm="1">
        <f t="array" ref="P653">INDEX($E$302:$E$676, MATCH($B653, $B$302:$B$676, 0) * MATCH("Brazil", $A$302:$A$676, 0))</f>
        <v>357742.69163840002</v>
      </c>
      <c r="Q653" s="306">
        <f t="shared" si="51"/>
        <v>357620.37804976001</v>
      </c>
      <c r="R653" s="336">
        <f>INDEX('Base GDP'!$A$1:$E$76,MATCH(A653,'Base GDP'!$A$1:$A$76,0),4)</f>
        <v>295018.32730579999</v>
      </c>
      <c r="S653" s="336">
        <f>INDEX('Base GDP'!$A$1:$E$76,MATCH(A653,'Base GDP'!$A$1:$A$76,0),5)</f>
        <v>332655.81031924998</v>
      </c>
      <c r="T653" s="335">
        <f t="shared" si="52"/>
        <v>6.1653983496917501E-4</v>
      </c>
      <c r="U653" s="335">
        <f t="shared" si="53"/>
        <v>6.3001632672180679E-4</v>
      </c>
      <c r="V653" s="335">
        <f t="shared" si="54"/>
        <v>1.3476491752631783E-5</v>
      </c>
    </row>
    <row r="654" spans="1:22" x14ac:dyDescent="0.45">
      <c r="A654" s="293" t="s">
        <v>170</v>
      </c>
      <c r="B654" s="297" t="s">
        <v>8</v>
      </c>
      <c r="C654" s="293" t="str">
        <f t="shared" si="50"/>
        <v>ChileManufacture of other transport equipment (C30)</v>
      </c>
      <c r="D654" s="297" t="s">
        <v>958</v>
      </c>
      <c r="E654" s="298">
        <v>152.11049954000001</v>
      </c>
      <c r="F654" s="298">
        <v>182.49860670999999</v>
      </c>
      <c r="G654" s="302">
        <v>0.19977652602481211</v>
      </c>
      <c r="H654" s="303">
        <v>5397.93675403</v>
      </c>
      <c r="I654" s="298">
        <v>177.52433586000001</v>
      </c>
      <c r="J654" s="298">
        <v>182.49860670999999</v>
      </c>
      <c r="K654" s="302">
        <v>2.8020219458377849E-2</v>
      </c>
      <c r="L654" s="298">
        <v>158.76296615000001</v>
      </c>
      <c r="M654" s="298">
        <v>168.48123530999999</v>
      </c>
      <c r="N654" s="298">
        <v>178.55615667000001</v>
      </c>
      <c r="O654" s="306">
        <v>200.20330257000001</v>
      </c>
      <c r="P654" s="306" cm="1">
        <f t="array" ref="P654">INDEX($E$302:$E$676, MATCH($B654, $B$302:$B$676, 0) * MATCH("Brazil", $A$302:$A$676, 0))</f>
        <v>357742.69163840002</v>
      </c>
      <c r="Q654" s="306">
        <f t="shared" si="51"/>
        <v>357590.58113886003</v>
      </c>
      <c r="R654" s="336">
        <f>INDEX('Base GDP'!$A$1:$E$76,MATCH(A654,'Base GDP'!$A$1:$A$76,0),4)</f>
        <v>257576.69277617999</v>
      </c>
      <c r="S654" s="336">
        <f>INDEX('Base GDP'!$A$1:$E$76,MATCH(A654,'Base GDP'!$A$1:$A$76,0),5)</f>
        <v>291863.26262717001</v>
      </c>
      <c r="T654" s="335">
        <f t="shared" si="52"/>
        <v>6.8920962508925031E-4</v>
      </c>
      <c r="U654" s="335">
        <f t="shared" si="53"/>
        <v>6.2528803751202538E-4</v>
      </c>
      <c r="V654" s="335">
        <f t="shared" si="54"/>
        <v>-6.3921587577224926E-5</v>
      </c>
    </row>
    <row r="655" spans="1:22" x14ac:dyDescent="0.45">
      <c r="A655" s="293" t="s">
        <v>127</v>
      </c>
      <c r="B655" s="297" t="s">
        <v>8</v>
      </c>
      <c r="C655" s="293" t="str">
        <f t="shared" si="50"/>
        <v>IrelandManufacture of other transport equipment (C30)</v>
      </c>
      <c r="D655" s="297" t="s">
        <v>958</v>
      </c>
      <c r="E655" s="298">
        <v>596.05121741999994</v>
      </c>
      <c r="F655" s="298">
        <v>142.59000391999999</v>
      </c>
      <c r="G655" s="302">
        <v>-0.76077558479420782</v>
      </c>
      <c r="H655" s="303">
        <v>4953.9960361499998</v>
      </c>
      <c r="I655" s="298">
        <v>113.13656174</v>
      </c>
      <c r="J655" s="298">
        <v>142.59000391999999</v>
      </c>
      <c r="K655" s="302">
        <v>0.26033531271426802</v>
      </c>
      <c r="L655" s="298">
        <v>161.79082817</v>
      </c>
      <c r="M655" s="298">
        <v>167.96941122000001</v>
      </c>
      <c r="N655" s="298">
        <v>171.42628721</v>
      </c>
      <c r="O655" s="306">
        <v>179.71706763</v>
      </c>
      <c r="P655" s="306" cm="1">
        <f t="array" ref="P655">INDEX($E$302:$E$676, MATCH($B655, $B$302:$B$676, 0) * MATCH("Brazil", $A$302:$A$676, 0))</f>
        <v>357742.69163840002</v>
      </c>
      <c r="Q655" s="306">
        <f t="shared" si="51"/>
        <v>357146.64042097999</v>
      </c>
      <c r="R655" s="336">
        <f>INDEX('Base GDP'!$A$1:$E$76,MATCH(A655,'Base GDP'!$A$1:$A$76,0),4)</f>
        <v>308812.05776281998</v>
      </c>
      <c r="S655" s="336">
        <f>INDEX('Base GDP'!$A$1:$E$76,MATCH(A655,'Base GDP'!$A$1:$A$76,0),5)</f>
        <v>483748.84960921999</v>
      </c>
      <c r="T655" s="335">
        <f t="shared" si="52"/>
        <v>3.6636057076143511E-4</v>
      </c>
      <c r="U655" s="335">
        <f t="shared" si="53"/>
        <v>2.9476039898634687E-4</v>
      </c>
      <c r="V655" s="335">
        <f t="shared" si="54"/>
        <v>-7.1600171775088246E-5</v>
      </c>
    </row>
    <row r="656" spans="1:22" x14ac:dyDescent="0.45">
      <c r="A656" s="293" t="s">
        <v>157</v>
      </c>
      <c r="B656" s="297" t="s">
        <v>8</v>
      </c>
      <c r="C656" s="293" t="str">
        <f t="shared" si="50"/>
        <v>SlovakiaManufacture of other transport equipment (C30)</v>
      </c>
      <c r="D656" s="297" t="s">
        <v>958</v>
      </c>
      <c r="E656" s="298">
        <v>350.88504037000001</v>
      </c>
      <c r="F656" s="298">
        <v>142.11332157999999</v>
      </c>
      <c r="G656" s="302">
        <v>-0.5949860916551335</v>
      </c>
      <c r="H656" s="303">
        <v>5199.1622132000002</v>
      </c>
      <c r="I656" s="298">
        <v>265.97222767</v>
      </c>
      <c r="J656" s="298">
        <v>142.11332157999999</v>
      </c>
      <c r="K656" s="302">
        <v>-0.46568360604805548</v>
      </c>
      <c r="L656" s="298">
        <v>165.77114925000001</v>
      </c>
      <c r="M656" s="298">
        <v>180.95890562</v>
      </c>
      <c r="N656" s="298">
        <v>188.81456975</v>
      </c>
      <c r="O656" s="306">
        <v>218.08438411</v>
      </c>
      <c r="P656" s="306" cm="1">
        <f t="array" ref="P656">INDEX($E$302:$E$676, MATCH($B656, $B$302:$B$676, 0) * MATCH("Brazil", $A$302:$A$676, 0))</f>
        <v>357742.69163840002</v>
      </c>
      <c r="Q656" s="306">
        <f t="shared" si="51"/>
        <v>357391.80659803003</v>
      </c>
      <c r="R656" s="336">
        <f>INDEX('Base GDP'!$A$1:$E$76,MATCH(A656,'Base GDP'!$A$1:$A$76,0),4)</f>
        <v>94460.171576160006</v>
      </c>
      <c r="S656" s="336">
        <f>INDEX('Base GDP'!$A$1:$E$76,MATCH(A656,'Base GDP'!$A$1:$A$76,0),5)</f>
        <v>107076.6714533</v>
      </c>
      <c r="T656" s="335">
        <f t="shared" si="52"/>
        <v>2.8157076493933284E-3</v>
      </c>
      <c r="U656" s="335">
        <f t="shared" si="53"/>
        <v>1.3272108634977576E-3</v>
      </c>
      <c r="V656" s="335">
        <f t="shared" si="54"/>
        <v>-1.4884967858955708E-3</v>
      </c>
    </row>
    <row r="657" spans="1:22" x14ac:dyDescent="0.45">
      <c r="A657" s="293" t="s">
        <v>160</v>
      </c>
      <c r="B657" s="297" t="s">
        <v>8</v>
      </c>
      <c r="C657" s="293" t="str">
        <f t="shared" si="50"/>
        <v>BulgariaManufacture of other transport equipment (C30)</v>
      </c>
      <c r="D657" s="297" t="s">
        <v>958</v>
      </c>
      <c r="E657" s="298">
        <v>79.506994340000006</v>
      </c>
      <c r="F657" s="298">
        <v>141.58223362000001</v>
      </c>
      <c r="G657" s="302">
        <v>0.78075193000686638</v>
      </c>
      <c r="H657" s="303">
        <v>5470.5402592299997</v>
      </c>
      <c r="I657" s="298">
        <v>93.664629599999998</v>
      </c>
      <c r="J657" s="298">
        <v>141.58223362000001</v>
      </c>
      <c r="K657" s="302">
        <v>0.51158696964515626</v>
      </c>
      <c r="L657" s="298">
        <v>216.17747904000001</v>
      </c>
      <c r="M657" s="298">
        <v>240.50650965</v>
      </c>
      <c r="N657" s="298">
        <v>254.48871313000001</v>
      </c>
      <c r="O657" s="306">
        <v>282.59239028000002</v>
      </c>
      <c r="P657" s="306" cm="1">
        <f t="array" ref="P657">INDEX($E$302:$E$676, MATCH($B657, $B$302:$B$676, 0) * MATCH("Brazil", $A$302:$A$676, 0))</f>
        <v>357742.69163840002</v>
      </c>
      <c r="Q657" s="306">
        <f t="shared" si="51"/>
        <v>357663.18464406003</v>
      </c>
      <c r="R657" s="336">
        <f>INDEX('Base GDP'!$A$1:$E$76,MATCH(A657,'Base GDP'!$A$1:$A$76,0),4)</f>
        <v>60854.013563</v>
      </c>
      <c r="S657" s="336">
        <f>INDEX('Base GDP'!$A$1:$E$76,MATCH(A657,'Base GDP'!$A$1:$A$76,0),5)</f>
        <v>70836.911882080007</v>
      </c>
      <c r="T657" s="335">
        <f t="shared" si="52"/>
        <v>1.5391693023342221E-3</v>
      </c>
      <c r="U657" s="335">
        <f t="shared" si="53"/>
        <v>1.9987070279925178E-3</v>
      </c>
      <c r="V657" s="335">
        <f t="shared" si="54"/>
        <v>4.595377256582957E-4</v>
      </c>
    </row>
    <row r="658" spans="1:22" x14ac:dyDescent="0.45">
      <c r="A658" s="293" t="s">
        <v>147</v>
      </c>
      <c r="B658" s="297" t="s">
        <v>8</v>
      </c>
      <c r="C658" s="293" t="str">
        <f t="shared" si="50"/>
        <v>PeruManufacture of other transport equipment (C30)</v>
      </c>
      <c r="D658" s="297" t="s">
        <v>958</v>
      </c>
      <c r="E658" s="298">
        <v>149.32538665000001</v>
      </c>
      <c r="F658" s="298">
        <v>115.02869613999999</v>
      </c>
      <c r="G658" s="302">
        <v>-0.22967756038956166</v>
      </c>
      <c r="H658" s="303">
        <v>5400.7218669200001</v>
      </c>
      <c r="I658" s="298">
        <v>115.68848797</v>
      </c>
      <c r="J658" s="298">
        <v>115.02869613999999</v>
      </c>
      <c r="K658" s="302">
        <v>-5.703176189588488E-3</v>
      </c>
      <c r="L658" s="298">
        <v>315.87304356999999</v>
      </c>
      <c r="M658" s="298">
        <v>356.75628513999999</v>
      </c>
      <c r="N658" s="298">
        <v>391.51824341000003</v>
      </c>
      <c r="O658" s="306">
        <v>486.34640875000002</v>
      </c>
      <c r="P658" s="306" cm="1">
        <f t="array" ref="P658">INDEX($E$302:$E$676, MATCH($B658, $B$302:$B$676, 0) * MATCH("Brazil", $A$302:$A$676, 0))</f>
        <v>357742.69163840002</v>
      </c>
      <c r="Q658" s="306">
        <f t="shared" si="51"/>
        <v>357593.36625175003</v>
      </c>
      <c r="R658" s="336">
        <f>INDEX('Base GDP'!$A$1:$E$76,MATCH(A658,'Base GDP'!$A$1:$A$76,0),4)</f>
        <v>205342.67167914001</v>
      </c>
      <c r="S658" s="336">
        <f>INDEX('Base GDP'!$A$1:$E$76,MATCH(A658,'Base GDP'!$A$1:$A$76,0),5)</f>
        <v>235110.76142220001</v>
      </c>
      <c r="T658" s="335">
        <f t="shared" si="52"/>
        <v>5.6339233839700911E-4</v>
      </c>
      <c r="U658" s="335">
        <f t="shared" si="53"/>
        <v>4.8925321599140785E-4</v>
      </c>
      <c r="V658" s="335">
        <f t="shared" si="54"/>
        <v>-7.4139122405601256E-5</v>
      </c>
    </row>
    <row r="659" spans="1:22" x14ac:dyDescent="0.45">
      <c r="A659" s="293" t="s">
        <v>165</v>
      </c>
      <c r="B659" s="297" t="s">
        <v>8</v>
      </c>
      <c r="C659" s="293" t="str">
        <f t="shared" si="50"/>
        <v>EcuadorManufacture of other transport equipment (C30)</v>
      </c>
      <c r="D659" s="297" t="s">
        <v>958</v>
      </c>
      <c r="E659" s="298">
        <v>104.74604678</v>
      </c>
      <c r="F659" s="298">
        <v>104.42502168</v>
      </c>
      <c r="G659" s="302">
        <v>-3.0647944229748036E-3</v>
      </c>
      <c r="H659" s="303">
        <v>5445.3012067899999</v>
      </c>
      <c r="I659" s="298">
        <v>108.18058499</v>
      </c>
      <c r="J659" s="298">
        <v>104.42502168</v>
      </c>
      <c r="K659" s="302">
        <v>-3.4715686833706405E-2</v>
      </c>
      <c r="L659" s="298">
        <v>116.4086053</v>
      </c>
      <c r="M659" s="298">
        <v>121.07123344</v>
      </c>
      <c r="N659" s="298">
        <v>125.23339672</v>
      </c>
      <c r="O659" s="306">
        <v>137.82527622999999</v>
      </c>
      <c r="P659" s="306" cm="1">
        <f t="array" ref="P659">INDEX($E$302:$E$676, MATCH($B659, $B$302:$B$676, 0) * MATCH("Brazil", $A$302:$A$676, 0))</f>
        <v>357742.69163840002</v>
      </c>
      <c r="Q659" s="306">
        <f t="shared" si="51"/>
        <v>357637.94559161999</v>
      </c>
      <c r="R659" s="336">
        <f>INDEX('Base GDP'!$A$1:$E$76,MATCH(A659,'Base GDP'!$A$1:$A$76,0),4)</f>
        <v>105544.34131757999</v>
      </c>
      <c r="S659" s="336">
        <f>INDEX('Base GDP'!$A$1:$E$76,MATCH(A659,'Base GDP'!$A$1:$A$76,0),5)</f>
        <v>103911.06087433999</v>
      </c>
      <c r="T659" s="335">
        <f t="shared" si="52"/>
        <v>1.0249775936777854E-3</v>
      </c>
      <c r="U659" s="335">
        <f t="shared" si="53"/>
        <v>1.0049461607006549E-3</v>
      </c>
      <c r="V659" s="335">
        <f t="shared" si="54"/>
        <v>-2.0031432977130493E-5</v>
      </c>
    </row>
    <row r="660" spans="1:22" x14ac:dyDescent="0.45">
      <c r="A660" s="293" t="s">
        <v>174</v>
      </c>
      <c r="B660" s="297" t="s">
        <v>8</v>
      </c>
      <c r="C660" s="293" t="str">
        <f t="shared" si="50"/>
        <v>Sri LankaManufacture of other transport equipment (C30)</v>
      </c>
      <c r="D660" s="297" t="s">
        <v>958</v>
      </c>
      <c r="E660" s="298">
        <v>38.567881069999999</v>
      </c>
      <c r="F660" s="298">
        <v>83.390383940000007</v>
      </c>
      <c r="G660" s="302">
        <v>1.162171776786181</v>
      </c>
      <c r="H660" s="303">
        <v>5511.4793725</v>
      </c>
      <c r="I660" s="298">
        <v>55.386982109999998</v>
      </c>
      <c r="J660" s="298">
        <v>83.390383940000007</v>
      </c>
      <c r="K660" s="302">
        <v>0.50559537211080618</v>
      </c>
      <c r="L660" s="298">
        <v>74.996457269999993</v>
      </c>
      <c r="M660" s="298">
        <v>87.041360530000006</v>
      </c>
      <c r="N660" s="298">
        <v>97.132464339999999</v>
      </c>
      <c r="O660" s="306">
        <v>123.18592941999999</v>
      </c>
      <c r="P660" s="306" cm="1">
        <f t="array" ref="P660">INDEX($E$302:$E$676, MATCH($B660, $B$302:$B$676, 0) * MATCH("Brazil", $A$302:$A$676, 0))</f>
        <v>357742.69163840002</v>
      </c>
      <c r="Q660" s="306">
        <f t="shared" si="51"/>
        <v>357704.12375733</v>
      </c>
      <c r="R660" s="336">
        <f>INDEX('Base GDP'!$A$1:$E$76,MATCH(A660,'Base GDP'!$A$1:$A$76,0),4)</f>
        <v>77969.257644440004</v>
      </c>
      <c r="S660" s="336">
        <f>INDEX('Base GDP'!$A$1:$E$76,MATCH(A660,'Base GDP'!$A$1:$A$76,0),5)</f>
        <v>87884.425158479993</v>
      </c>
      <c r="T660" s="335">
        <f t="shared" si="52"/>
        <v>7.1036949412265759E-4</v>
      </c>
      <c r="U660" s="335">
        <f t="shared" si="53"/>
        <v>9.4886419055053293E-4</v>
      </c>
      <c r="V660" s="335">
        <f t="shared" si="54"/>
        <v>2.3849469642787534E-4</v>
      </c>
    </row>
    <row r="661" spans="1:22" x14ac:dyDescent="0.45">
      <c r="A661" s="293" t="s">
        <v>167</v>
      </c>
      <c r="B661" s="297" t="s">
        <v>8</v>
      </c>
      <c r="C661" s="293" t="str">
        <f t="shared" si="50"/>
        <v>Hong Kong SARManufacture of other transport equipment (C30)</v>
      </c>
      <c r="D661" s="297" t="s">
        <v>958</v>
      </c>
      <c r="E661" s="298">
        <v>67.359912260000002</v>
      </c>
      <c r="F661" s="298">
        <v>81.373719800000003</v>
      </c>
      <c r="G661" s="302">
        <v>0.20804373209259297</v>
      </c>
      <c r="H661" s="303">
        <v>5482.6873413100002</v>
      </c>
      <c r="I661" s="298">
        <v>78.240946350000002</v>
      </c>
      <c r="J661" s="298">
        <v>81.373719800000003</v>
      </c>
      <c r="K661" s="302">
        <v>4.0040076151251824E-2</v>
      </c>
      <c r="L661" s="298">
        <v>97.972999520000002</v>
      </c>
      <c r="M661" s="298">
        <v>101.82374634999999</v>
      </c>
      <c r="N661" s="298">
        <v>103.81095166999999</v>
      </c>
      <c r="O661" s="306">
        <v>108.94167469999999</v>
      </c>
      <c r="P661" s="306" cm="1">
        <f t="array" ref="P661">INDEX($E$302:$E$676, MATCH($B661, $B$302:$B$676, 0) * MATCH("Brazil", $A$302:$A$676, 0))</f>
        <v>357742.69163840002</v>
      </c>
      <c r="Q661" s="306">
        <f t="shared" si="51"/>
        <v>357675.33172613999</v>
      </c>
      <c r="R661" s="336">
        <f>INDEX('Base GDP'!$A$1:$E$76,MATCH(A661,'Base GDP'!$A$1:$A$76,0),4)</f>
        <v>338559.97086627001</v>
      </c>
      <c r="S661" s="336">
        <f>INDEX('Base GDP'!$A$1:$E$76,MATCH(A661,'Base GDP'!$A$1:$A$76,0),5)</f>
        <v>361197.76240428002</v>
      </c>
      <c r="T661" s="335">
        <f t="shared" si="52"/>
        <v>2.3109922342504246E-4</v>
      </c>
      <c r="U661" s="335">
        <f t="shared" si="53"/>
        <v>2.2528854901631519E-4</v>
      </c>
      <c r="V661" s="335">
        <f t="shared" si="54"/>
        <v>-5.8106744087272689E-6</v>
      </c>
    </row>
    <row r="662" spans="1:22" x14ac:dyDescent="0.45">
      <c r="A662" s="293" t="s">
        <v>142</v>
      </c>
      <c r="B662" s="297" t="s">
        <v>8</v>
      </c>
      <c r="C662" s="293" t="str">
        <f t="shared" si="50"/>
        <v>ArgentinaManufacture of other transport equipment (C30)</v>
      </c>
      <c r="D662" s="297" t="s">
        <v>958</v>
      </c>
      <c r="E662" s="298">
        <v>71.148777260000003</v>
      </c>
      <c r="F662" s="298">
        <v>39.831422699999997</v>
      </c>
      <c r="G662" s="302">
        <v>-0.44016715066734802</v>
      </c>
      <c r="H662" s="303">
        <v>5478.8984763099998</v>
      </c>
      <c r="I662" s="298">
        <v>55.718975380000003</v>
      </c>
      <c r="J662" s="298">
        <v>39.831422699999997</v>
      </c>
      <c r="K662" s="302">
        <v>-0.285137200956189</v>
      </c>
      <c r="L662" s="298">
        <v>47.155898479999998</v>
      </c>
      <c r="M662" s="298">
        <v>51.130739900000002</v>
      </c>
      <c r="N662" s="298">
        <v>53.87579582</v>
      </c>
      <c r="O662" s="306">
        <v>62.729868719999999</v>
      </c>
      <c r="P662" s="306" cm="1">
        <f t="array" ref="P662">INDEX($E$302:$E$676, MATCH($B662, $B$302:$B$676, 0) * MATCH("Brazil", $A$302:$A$676, 0))</f>
        <v>357742.69163840002</v>
      </c>
      <c r="Q662" s="306">
        <f t="shared" si="51"/>
        <v>357671.54286114004</v>
      </c>
      <c r="R662" s="336">
        <f>INDEX('Base GDP'!$A$1:$E$76,MATCH(A662,'Base GDP'!$A$1:$A$76,0),4)</f>
        <v>464976.94374428003</v>
      </c>
      <c r="S662" s="336">
        <f>INDEX('Base GDP'!$A$1:$E$76,MATCH(A662,'Base GDP'!$A$1:$A$76,0),5)</f>
        <v>445673.70595729002</v>
      </c>
      <c r="T662" s="335">
        <f t="shared" si="52"/>
        <v>1.1983169516173551E-4</v>
      </c>
      <c r="U662" s="335">
        <f t="shared" si="53"/>
        <v>8.9373508393194594E-5</v>
      </c>
      <c r="V662" s="335">
        <f t="shared" si="54"/>
        <v>-3.0458186768540912E-5</v>
      </c>
    </row>
    <row r="663" spans="1:22" x14ac:dyDescent="0.45">
      <c r="A663" s="293" t="s">
        <v>148</v>
      </c>
      <c r="B663" s="297" t="s">
        <v>8</v>
      </c>
      <c r="C663" s="293" t="str">
        <f t="shared" si="50"/>
        <v>BahrainManufacture of other transport equipment (C30)</v>
      </c>
      <c r="D663" s="297" t="s">
        <v>958</v>
      </c>
      <c r="E663" s="298">
        <v>33.64978292</v>
      </c>
      <c r="F663" s="298">
        <v>34.036753640000001</v>
      </c>
      <c r="G663" s="302">
        <v>1.1499946995794819E-2</v>
      </c>
      <c r="H663" s="303">
        <v>5516.3974706500003</v>
      </c>
      <c r="I663" s="298">
        <v>35.691915469999998</v>
      </c>
      <c r="J663" s="298">
        <v>34.036753640000001</v>
      </c>
      <c r="K663" s="302">
        <v>-4.637357811158116E-2</v>
      </c>
      <c r="L663" s="298">
        <v>36.145625639999999</v>
      </c>
      <c r="M663" s="298">
        <v>37.643151439999997</v>
      </c>
      <c r="N663" s="298">
        <v>38.956125659999998</v>
      </c>
      <c r="O663" s="306">
        <v>41.81479873</v>
      </c>
      <c r="P663" s="306" cm="1">
        <f t="array" ref="P663">INDEX($E$302:$E$676, MATCH($B663, $B$302:$B$676, 0) * MATCH("Brazil", $A$302:$A$676, 0))</f>
        <v>357742.69163840002</v>
      </c>
      <c r="Q663" s="306">
        <f t="shared" si="51"/>
        <v>357709.04185548</v>
      </c>
      <c r="R663" s="336">
        <f>INDEX('Base GDP'!$A$1:$E$76,MATCH(A663,'Base GDP'!$A$1:$A$76,0),4)</f>
        <v>33332.328188890002</v>
      </c>
      <c r="S663" s="336">
        <f>INDEX('Base GDP'!$A$1:$E$76,MATCH(A663,'Base GDP'!$A$1:$A$76,0),5)</f>
        <v>36767.801730239997</v>
      </c>
      <c r="T663" s="335">
        <f t="shared" si="52"/>
        <v>1.0707897530511075E-3</v>
      </c>
      <c r="U663" s="335">
        <f t="shared" si="53"/>
        <v>9.2572174669899225E-4</v>
      </c>
      <c r="V663" s="335">
        <f t="shared" si="54"/>
        <v>-1.4506800635211527E-4</v>
      </c>
    </row>
    <row r="664" spans="1:22" x14ac:dyDescent="0.45">
      <c r="A664" s="293" t="s">
        <v>155</v>
      </c>
      <c r="B664" s="297" t="s">
        <v>8</v>
      </c>
      <c r="C664" s="293" t="str">
        <f t="shared" si="50"/>
        <v>QatarManufacture of other transport equipment (C30)</v>
      </c>
      <c r="D664" s="297" t="s">
        <v>958</v>
      </c>
      <c r="E664" s="298">
        <v>20.799723950000001</v>
      </c>
      <c r="F664" s="298">
        <v>26.56131259</v>
      </c>
      <c r="G664" s="302">
        <v>0.27700313013048428</v>
      </c>
      <c r="H664" s="303">
        <v>5529.24752962</v>
      </c>
      <c r="I664" s="298">
        <v>27.214471329999999</v>
      </c>
      <c r="J664" s="298">
        <v>26.56131259</v>
      </c>
      <c r="K664" s="302">
        <v>-2.4000419926584637E-2</v>
      </c>
      <c r="L664" s="298">
        <v>31.518957489999998</v>
      </c>
      <c r="M664" s="298">
        <v>35.113088279999999</v>
      </c>
      <c r="N664" s="298">
        <v>36.656131950000002</v>
      </c>
      <c r="O664" s="306">
        <v>39.446358490000001</v>
      </c>
      <c r="P664" s="306" cm="1">
        <f t="array" ref="P664">INDEX($E$302:$E$676, MATCH($B664, $B$302:$B$676, 0) * MATCH("Brazil", $A$302:$A$676, 0))</f>
        <v>357742.69163840002</v>
      </c>
      <c r="Q664" s="306">
        <f t="shared" si="51"/>
        <v>357721.89191445004</v>
      </c>
      <c r="R664" s="336">
        <f>INDEX('Base GDP'!$A$1:$E$76,MATCH(A664,'Base GDP'!$A$1:$A$76,0),4)</f>
        <v>170576.82347613</v>
      </c>
      <c r="S664" s="336">
        <f>INDEX('Base GDP'!$A$1:$E$76,MATCH(A664,'Base GDP'!$A$1:$A$76,0),5)</f>
        <v>172715.39534024999</v>
      </c>
      <c r="T664" s="335">
        <f t="shared" si="52"/>
        <v>1.5954378077516674E-4</v>
      </c>
      <c r="U664" s="335">
        <f t="shared" si="53"/>
        <v>1.5378659521158558E-4</v>
      </c>
      <c r="V664" s="335">
        <f t="shared" si="54"/>
        <v>-5.7571855635811628E-6</v>
      </c>
    </row>
    <row r="665" spans="1:22" x14ac:dyDescent="0.45">
      <c r="A665" s="293" t="s">
        <v>146</v>
      </c>
      <c r="B665" s="297" t="s">
        <v>8</v>
      </c>
      <c r="C665" s="293" t="str">
        <f t="shared" si="50"/>
        <v>EgyptManufacture of other transport equipment (C30)</v>
      </c>
      <c r="D665" s="297" t="s">
        <v>958</v>
      </c>
      <c r="E665" s="298">
        <v>21.2576319</v>
      </c>
      <c r="F665" s="298">
        <v>26.283041260000001</v>
      </c>
      <c r="G665" s="302">
        <v>0.2364049478154715</v>
      </c>
      <c r="H665" s="303">
        <v>5528.7896216700001</v>
      </c>
      <c r="I665" s="298">
        <v>24.738767320000001</v>
      </c>
      <c r="J665" s="298">
        <v>26.283041260000001</v>
      </c>
      <c r="K665" s="302">
        <v>6.2423237181730373E-2</v>
      </c>
      <c r="L665" s="298">
        <v>30.499090649999999</v>
      </c>
      <c r="M665" s="298">
        <v>40.74140311</v>
      </c>
      <c r="N665" s="298">
        <v>48.811663639999999</v>
      </c>
      <c r="O665" s="306">
        <v>73.044282769999995</v>
      </c>
      <c r="P665" s="306" cm="1">
        <f t="array" ref="P665">INDEX($E$302:$E$676, MATCH($B665, $B$302:$B$676, 0) * MATCH("Brazil", $A$302:$A$676, 0))</f>
        <v>357742.69163840002</v>
      </c>
      <c r="Q665" s="306">
        <f t="shared" si="51"/>
        <v>357721.4340065</v>
      </c>
      <c r="R665" s="336">
        <f>INDEX('Base GDP'!$A$1:$E$76,MATCH(A665,'Base GDP'!$A$1:$A$76,0),4)</f>
        <v>276522.47435759002</v>
      </c>
      <c r="S665" s="336">
        <f>INDEX('Base GDP'!$A$1:$E$76,MATCH(A665,'Base GDP'!$A$1:$A$76,0),5)</f>
        <v>357883.01385108999</v>
      </c>
      <c r="T665" s="335">
        <f t="shared" si="52"/>
        <v>8.946385778397389E-5</v>
      </c>
      <c r="U665" s="335">
        <f t="shared" si="53"/>
        <v>7.3440314971014522E-5</v>
      </c>
      <c r="V665" s="335">
        <f t="shared" si="54"/>
        <v>-1.6023542812959368E-5</v>
      </c>
    </row>
    <row r="666" spans="1:22" x14ac:dyDescent="0.45">
      <c r="A666" s="293" t="s">
        <v>166</v>
      </c>
      <c r="B666" s="297" t="s">
        <v>8</v>
      </c>
      <c r="C666" s="293" t="str">
        <f t="shared" si="50"/>
        <v>HondurasManufacture of other transport equipment (C30)</v>
      </c>
      <c r="D666" s="297" t="s">
        <v>958</v>
      </c>
      <c r="E666" s="298">
        <v>16.121533830000001</v>
      </c>
      <c r="F666" s="298">
        <v>19.6263355</v>
      </c>
      <c r="G666" s="302">
        <v>0.21739877278165909</v>
      </c>
      <c r="H666" s="303">
        <v>5533.9257197400002</v>
      </c>
      <c r="I666" s="298">
        <v>17.718292309999999</v>
      </c>
      <c r="J666" s="298">
        <v>19.6263355</v>
      </c>
      <c r="K666" s="302">
        <v>0.10768775887748072</v>
      </c>
      <c r="L666" s="298">
        <v>22.715285130000002</v>
      </c>
      <c r="M666" s="298">
        <v>25.721826409999998</v>
      </c>
      <c r="N666" s="298">
        <v>28.300532059999998</v>
      </c>
      <c r="O666" s="306">
        <v>35.488057550000001</v>
      </c>
      <c r="P666" s="306" cm="1">
        <f t="array" ref="P666">INDEX($E$302:$E$676, MATCH($B666, $B$302:$B$676, 0) * MATCH("Brazil", $A$302:$A$676, 0))</f>
        <v>357742.69163840002</v>
      </c>
      <c r="Q666" s="306">
        <f t="shared" si="51"/>
        <v>357726.57010457001</v>
      </c>
      <c r="R666" s="336">
        <f>INDEX('Base GDP'!$A$1:$E$76,MATCH(A666,'Base GDP'!$A$1:$A$76,0),4)</f>
        <v>21608.112082880001</v>
      </c>
      <c r="S666" s="336">
        <f>INDEX('Base GDP'!$A$1:$E$76,MATCH(A666,'Base GDP'!$A$1:$A$76,0),5)</f>
        <v>25703.55773198</v>
      </c>
      <c r="T666" s="335">
        <f t="shared" si="52"/>
        <v>8.1998335819620787E-4</v>
      </c>
      <c r="U666" s="335">
        <f t="shared" si="53"/>
        <v>7.6356493932282351E-4</v>
      </c>
      <c r="V666" s="335">
        <f t="shared" si="54"/>
        <v>-5.6418418873384357E-5</v>
      </c>
    </row>
    <row r="667" spans="1:22" x14ac:dyDescent="0.45">
      <c r="A667" s="293" t="s">
        <v>175</v>
      </c>
      <c r="B667" s="297" t="s">
        <v>8</v>
      </c>
      <c r="C667" s="293" t="str">
        <f t="shared" si="50"/>
        <v>KenyaManufacture of other transport equipment (C30)</v>
      </c>
      <c r="D667" s="297" t="s">
        <v>958</v>
      </c>
      <c r="E667" s="298">
        <v>13.11632627</v>
      </c>
      <c r="F667" s="298">
        <v>16.615749529999999</v>
      </c>
      <c r="G667" s="302">
        <v>0.26679904021631184</v>
      </c>
      <c r="H667" s="303">
        <v>5536.9309272999999</v>
      </c>
      <c r="I667" s="298">
        <v>14.9166113</v>
      </c>
      <c r="J667" s="298">
        <v>16.615749529999999</v>
      </c>
      <c r="K667" s="302">
        <v>0.11390913095657318</v>
      </c>
      <c r="L667" s="298">
        <v>19.17103659</v>
      </c>
      <c r="M667" s="298">
        <v>23.84577062</v>
      </c>
      <c r="N667" s="298">
        <v>27.94138113</v>
      </c>
      <c r="O667" s="306">
        <v>39.76740865</v>
      </c>
      <c r="P667" s="306" cm="1">
        <f t="array" ref="P667">INDEX($E$302:$E$676, MATCH($B667, $B$302:$B$676, 0) * MATCH("Brazil", $A$302:$A$676, 0))</f>
        <v>357742.69163840002</v>
      </c>
      <c r="Q667" s="306">
        <f t="shared" si="51"/>
        <v>357729.57531213004</v>
      </c>
      <c r="R667" s="336">
        <f>INDEX('Base GDP'!$A$1:$E$76,MATCH(A667,'Base GDP'!$A$1:$A$76,0),4)</f>
        <v>83525.195225389994</v>
      </c>
      <c r="S667" s="336">
        <f>INDEX('Base GDP'!$A$1:$E$76,MATCH(A667,'Base GDP'!$A$1:$A$76,0),5)</f>
        <v>107697.99713524</v>
      </c>
      <c r="T667" s="335">
        <f t="shared" si="52"/>
        <v>1.7858816444245372E-4</v>
      </c>
      <c r="U667" s="335">
        <f t="shared" si="53"/>
        <v>1.5428095203233022E-4</v>
      </c>
      <c r="V667" s="335">
        <f t="shared" si="54"/>
        <v>-2.4307212410123503E-5</v>
      </c>
    </row>
    <row r="668" spans="1:22" x14ac:dyDescent="0.45">
      <c r="A668" s="293" t="s">
        <v>172</v>
      </c>
      <c r="B668" s="297" t="s">
        <v>8</v>
      </c>
      <c r="C668" s="293" t="str">
        <f t="shared" si="50"/>
        <v>UruguayManufacture of other transport equipment (C30)</v>
      </c>
      <c r="D668" s="297" t="s">
        <v>958</v>
      </c>
      <c r="E668" s="298">
        <v>20.77758124</v>
      </c>
      <c r="F668" s="298">
        <v>14.493605240000001</v>
      </c>
      <c r="G668" s="302">
        <v>-0.30244020838683527</v>
      </c>
      <c r="H668" s="303">
        <v>5529.2696723300005</v>
      </c>
      <c r="I668" s="298">
        <v>17.393952710000001</v>
      </c>
      <c r="J668" s="298">
        <v>14.493605240000001</v>
      </c>
      <c r="K668" s="302">
        <v>-0.16674458752164789</v>
      </c>
      <c r="L668" s="298">
        <v>16.795129800000002</v>
      </c>
      <c r="M668" s="298">
        <v>18.088846570000001</v>
      </c>
      <c r="N668" s="298">
        <v>18.779476500000001</v>
      </c>
      <c r="O668" s="306">
        <v>19.749849900000001</v>
      </c>
      <c r="P668" s="306" cm="1">
        <f t="array" ref="P668">INDEX($E$302:$E$676, MATCH($B668, $B$302:$B$676, 0) * MATCH("Brazil", $A$302:$A$676, 0))</f>
        <v>357742.69163840002</v>
      </c>
      <c r="Q668" s="306">
        <f t="shared" si="51"/>
        <v>357721.91405716003</v>
      </c>
      <c r="R668" s="336">
        <f>INDEX('Base GDP'!$A$1:$E$76,MATCH(A668,'Base GDP'!$A$1:$A$76,0),4)</f>
        <v>59449.563607900003</v>
      </c>
      <c r="S668" s="336">
        <f>INDEX('Base GDP'!$A$1:$E$76,MATCH(A668,'Base GDP'!$A$1:$A$76,0),5)</f>
        <v>61243.536031950003</v>
      </c>
      <c r="T668" s="335">
        <f t="shared" si="52"/>
        <v>2.9258335392875096E-4</v>
      </c>
      <c r="U668" s="335">
        <f t="shared" si="53"/>
        <v>2.3665526485013643E-4</v>
      </c>
      <c r="V668" s="335">
        <f t="shared" si="54"/>
        <v>-5.5928089078614531E-5</v>
      </c>
    </row>
    <row r="669" spans="1:22" x14ac:dyDescent="0.45">
      <c r="A669" s="293" t="s">
        <v>178</v>
      </c>
      <c r="B669" s="297" t="s">
        <v>8</v>
      </c>
      <c r="C669" s="293" t="str">
        <f t="shared" si="50"/>
        <v>SenegalManufacture of other transport equipment (C30)</v>
      </c>
      <c r="D669" s="297" t="s">
        <v>958</v>
      </c>
      <c r="E669" s="298">
        <v>6.8634494799999999</v>
      </c>
      <c r="F669" s="298">
        <v>13.46136181</v>
      </c>
      <c r="G669" s="302">
        <v>0.96131141479604798</v>
      </c>
      <c r="H669" s="303">
        <v>5543.1838040900002</v>
      </c>
      <c r="I669" s="298">
        <v>9.7432868999999993</v>
      </c>
      <c r="J669" s="298">
        <v>13.46136181</v>
      </c>
      <c r="K669" s="302">
        <v>0.38160375940484736</v>
      </c>
      <c r="L669" s="298">
        <v>19.521761470000001</v>
      </c>
      <c r="M669" s="298">
        <v>23.50829375</v>
      </c>
      <c r="N669" s="298">
        <v>26.90780603</v>
      </c>
      <c r="O669" s="306">
        <v>36.689218169999997</v>
      </c>
      <c r="P669" s="306" cm="1">
        <f t="array" ref="P669">INDEX($E$302:$E$676, MATCH($B669, $B$302:$B$676, 0) * MATCH("Brazil", $A$302:$A$676, 0))</f>
        <v>357742.69163840002</v>
      </c>
      <c r="Q669" s="306">
        <f t="shared" si="51"/>
        <v>357735.82818892004</v>
      </c>
      <c r="R669" s="336">
        <f>INDEX('Base GDP'!$A$1:$E$76,MATCH(A669,'Base GDP'!$A$1:$A$76,0),4)</f>
        <v>18437.455260710001</v>
      </c>
      <c r="S669" s="336">
        <f>INDEX('Base GDP'!$A$1:$E$76,MATCH(A669,'Base GDP'!$A$1:$A$76,0),5)</f>
        <v>25150.80803964</v>
      </c>
      <c r="T669" s="335">
        <f t="shared" si="52"/>
        <v>5.2845074128873024E-4</v>
      </c>
      <c r="U669" s="335">
        <f t="shared" si="53"/>
        <v>5.3522581814403924E-4</v>
      </c>
      <c r="V669" s="335">
        <f t="shared" si="54"/>
        <v>6.7750768553089978E-6</v>
      </c>
    </row>
    <row r="670" spans="1:22" x14ac:dyDescent="0.45">
      <c r="A670" s="293" t="s">
        <v>153</v>
      </c>
      <c r="B670" s="297" t="s">
        <v>8</v>
      </c>
      <c r="C670" s="293" t="str">
        <f t="shared" si="50"/>
        <v>OmanManufacture of other transport equipment (C30)</v>
      </c>
      <c r="D670" s="297" t="s">
        <v>958</v>
      </c>
      <c r="E670" s="298">
        <v>5.4356740099999996</v>
      </c>
      <c r="F670" s="298">
        <v>8.7731239399999996</v>
      </c>
      <c r="G670" s="302">
        <v>0.61399008179300285</v>
      </c>
      <c r="H670" s="303">
        <v>5544.6115795599999</v>
      </c>
      <c r="I670" s="298">
        <v>8.4543038399999997</v>
      </c>
      <c r="J670" s="298">
        <v>8.7731239399999996</v>
      </c>
      <c r="K670" s="302">
        <v>3.7710982007951976E-2</v>
      </c>
      <c r="L670" s="298">
        <v>10.217213040000001</v>
      </c>
      <c r="M670" s="298">
        <v>11.02378315</v>
      </c>
      <c r="N670" s="298">
        <v>11.394469539999999</v>
      </c>
      <c r="O670" s="306">
        <v>12.33032364</v>
      </c>
      <c r="P670" s="306" cm="1">
        <f t="array" ref="P670">INDEX($E$302:$E$676, MATCH($B670, $B$302:$B$676, 0) * MATCH("Brazil", $A$302:$A$676, 0))</f>
        <v>357742.69163840002</v>
      </c>
      <c r="Q670" s="306">
        <f t="shared" si="51"/>
        <v>357737.25596439</v>
      </c>
      <c r="R670" s="336">
        <f>INDEX('Base GDP'!$A$1:$E$76,MATCH(A670,'Base GDP'!$A$1:$A$76,0),4)</f>
        <v>83456.391863790006</v>
      </c>
      <c r="S670" s="336">
        <f>INDEX('Base GDP'!$A$1:$E$76,MATCH(A670,'Base GDP'!$A$1:$A$76,0),5)</f>
        <v>87715.792114070005</v>
      </c>
      <c r="T670" s="335">
        <f t="shared" si="52"/>
        <v>1.0130205309856137E-4</v>
      </c>
      <c r="U670" s="335">
        <f t="shared" si="53"/>
        <v>1.000176106098545E-4</v>
      </c>
      <c r="V670" s="335">
        <f t="shared" si="54"/>
        <v>-1.2844424887068726E-6</v>
      </c>
    </row>
    <row r="671" spans="1:22" x14ac:dyDescent="0.45">
      <c r="A671" s="293" t="s">
        <v>176</v>
      </c>
      <c r="B671" s="297" t="s">
        <v>8</v>
      </c>
      <c r="C671" s="293" t="str">
        <f t="shared" si="50"/>
        <v>JordanManufacture of other transport equipment (C30)</v>
      </c>
      <c r="D671" s="297" t="s">
        <v>958</v>
      </c>
      <c r="E671" s="298">
        <v>3.3774892400000001</v>
      </c>
      <c r="F671" s="298">
        <v>5.8397550999999996</v>
      </c>
      <c r="G671" s="302">
        <v>0.72902256233390683</v>
      </c>
      <c r="H671" s="303">
        <v>5546.6697643300004</v>
      </c>
      <c r="I671" s="298">
        <v>5.1243942499999999</v>
      </c>
      <c r="J671" s="298">
        <v>5.8397550999999996</v>
      </c>
      <c r="K671" s="302">
        <v>0.13959910481126614</v>
      </c>
      <c r="L671" s="298">
        <v>6.3514312500000001</v>
      </c>
      <c r="M671" s="298">
        <v>6.9670346099999998</v>
      </c>
      <c r="N671" s="298">
        <v>7.4519026500000001</v>
      </c>
      <c r="O671" s="306">
        <v>8.5890995599999993</v>
      </c>
      <c r="P671" s="306" cm="1">
        <f t="array" ref="P671">INDEX($E$302:$E$676, MATCH($B671, $B$302:$B$676, 0) * MATCH("Brazil", $A$302:$A$676, 0))</f>
        <v>357742.69163840002</v>
      </c>
      <c r="Q671" s="306">
        <f t="shared" si="51"/>
        <v>357739.31414916</v>
      </c>
      <c r="R671" s="336">
        <f>INDEX('Base GDP'!$A$1:$E$76,MATCH(A671,'Base GDP'!$A$1:$A$76,0),4)</f>
        <v>41181.394892199998</v>
      </c>
      <c r="S671" s="336">
        <f>INDEX('Base GDP'!$A$1:$E$76,MATCH(A671,'Base GDP'!$A$1:$A$76,0),5)</f>
        <v>44841.419332370002</v>
      </c>
      <c r="T671" s="335">
        <f t="shared" si="52"/>
        <v>1.2443469346810763E-4</v>
      </c>
      <c r="U671" s="335">
        <f t="shared" si="53"/>
        <v>1.302312724919573E-4</v>
      </c>
      <c r="V671" s="335">
        <f t="shared" si="54"/>
        <v>5.7965790238496701E-6</v>
      </c>
    </row>
    <row r="672" spans="1:22" x14ac:dyDescent="0.45">
      <c r="A672" s="293" t="s">
        <v>177</v>
      </c>
      <c r="B672" s="297" t="s">
        <v>8</v>
      </c>
      <c r="C672" s="293" t="str">
        <f t="shared" si="50"/>
        <v>BoliviaManufacture of other transport equipment (C30)</v>
      </c>
      <c r="D672" s="297" t="s">
        <v>958</v>
      </c>
      <c r="E672" s="298">
        <v>3.8774380700000002</v>
      </c>
      <c r="F672" s="298">
        <v>4.9838762299999999</v>
      </c>
      <c r="G672" s="302">
        <v>0.28535289023971422</v>
      </c>
      <c r="H672" s="303">
        <v>5546.1698155000004</v>
      </c>
      <c r="I672" s="298">
        <v>4.9877362200000004</v>
      </c>
      <c r="J672" s="298">
        <v>4.9838762299999999</v>
      </c>
      <c r="K672" s="302">
        <v>-7.7389617849532577E-4</v>
      </c>
      <c r="L672" s="298">
        <v>5.6848488100000001</v>
      </c>
      <c r="M672" s="298">
        <v>7.4011867699999998</v>
      </c>
      <c r="N672" s="298">
        <v>9.1049364199999996</v>
      </c>
      <c r="O672" s="306">
        <v>12.00375156</v>
      </c>
      <c r="P672" s="306" cm="1">
        <f t="array" ref="P672">INDEX($E$302:$E$676, MATCH($B672, $B$302:$B$676, 0) * MATCH("Brazil", $A$302:$A$676, 0))</f>
        <v>357742.69163840002</v>
      </c>
      <c r="Q672" s="306">
        <f t="shared" si="51"/>
        <v>357738.81420033</v>
      </c>
      <c r="R672" s="336">
        <f>INDEX('Base GDP'!$A$1:$E$76,MATCH(A672,'Base GDP'!$A$1:$A$76,0),4)</f>
        <v>35334.894672080001</v>
      </c>
      <c r="S672" s="336">
        <f>INDEX('Base GDP'!$A$1:$E$76,MATCH(A672,'Base GDP'!$A$1:$A$76,0),5)</f>
        <v>39600.741188879998</v>
      </c>
      <c r="T672" s="335">
        <f t="shared" si="52"/>
        <v>1.4115610832543613E-4</v>
      </c>
      <c r="U672" s="335">
        <f t="shared" si="53"/>
        <v>1.2585310477470271E-4</v>
      </c>
      <c r="V672" s="335">
        <f t="shared" si="54"/>
        <v>-1.5303003550733423E-5</v>
      </c>
    </row>
    <row r="673" spans="1:22" x14ac:dyDescent="0.45">
      <c r="A673" s="293" t="s">
        <v>169</v>
      </c>
      <c r="B673" s="297" t="s">
        <v>8</v>
      </c>
      <c r="C673" s="293" t="str">
        <f t="shared" si="50"/>
        <v>Costa RicaManufacture of other transport equipment (C30)</v>
      </c>
      <c r="D673" s="297" t="s">
        <v>958</v>
      </c>
      <c r="E673" s="298">
        <v>2.8590492200000002</v>
      </c>
      <c r="F673" s="298">
        <v>3.6040233499999998</v>
      </c>
      <c r="G673" s="302">
        <v>0.26056708810350582</v>
      </c>
      <c r="H673" s="303">
        <v>5547.18820435</v>
      </c>
      <c r="I673" s="298">
        <v>3.2933955699999999</v>
      </c>
      <c r="J673" s="298">
        <v>3.6040233499999998</v>
      </c>
      <c r="K673" s="302">
        <v>9.4318393705739911E-2</v>
      </c>
      <c r="L673" s="298">
        <v>4.07307022</v>
      </c>
      <c r="M673" s="298">
        <v>4.4974672900000003</v>
      </c>
      <c r="N673" s="298">
        <v>4.86088364</v>
      </c>
      <c r="O673" s="306">
        <v>5.8684743499999996</v>
      </c>
      <c r="P673" s="306" cm="1">
        <f t="array" ref="P673">INDEX($E$302:$E$676, MATCH($B673, $B$302:$B$676, 0) * MATCH("Brazil", $A$302:$A$676, 0))</f>
        <v>357742.69163840002</v>
      </c>
      <c r="Q673" s="306">
        <f t="shared" si="51"/>
        <v>357739.83258918003</v>
      </c>
      <c r="R673" s="336">
        <f>INDEX('Base GDP'!$A$1:$E$76,MATCH(A673,'Base GDP'!$A$1:$A$76,0),4)</f>
        <v>56790.776904650003</v>
      </c>
      <c r="S673" s="336">
        <f>INDEX('Base GDP'!$A$1:$E$76,MATCH(A673,'Base GDP'!$A$1:$A$76,0),5)</f>
        <v>66933.267445050005</v>
      </c>
      <c r="T673" s="335">
        <f t="shared" si="52"/>
        <v>5.7991732980330797E-5</v>
      </c>
      <c r="U673" s="335">
        <f t="shared" si="53"/>
        <v>5.3845023372850933E-5</v>
      </c>
      <c r="V673" s="335">
        <f t="shared" si="54"/>
        <v>-4.1467096074798631E-6</v>
      </c>
    </row>
    <row r="674" spans="1:22" x14ac:dyDescent="0.45">
      <c r="A674" s="293" t="s">
        <v>171</v>
      </c>
      <c r="B674" s="297" t="s">
        <v>8</v>
      </c>
      <c r="C674" s="293" t="str">
        <f t="shared" si="50"/>
        <v>CameroonManufacture of other transport equipment (C30)</v>
      </c>
      <c r="D674" s="297" t="s">
        <v>958</v>
      </c>
      <c r="E674" s="298">
        <v>2.11885148</v>
      </c>
      <c r="F674" s="298">
        <v>3.1914023500000002</v>
      </c>
      <c r="G674" s="302">
        <v>0.50619445493178228</v>
      </c>
      <c r="H674" s="303">
        <v>5547.9284020900004</v>
      </c>
      <c r="I674" s="298">
        <v>2.5539906700000001</v>
      </c>
      <c r="J674" s="298">
        <v>3.1914023500000002</v>
      </c>
      <c r="K674" s="302">
        <v>0.24957478799247146</v>
      </c>
      <c r="L674" s="298">
        <v>4.1233595599999999</v>
      </c>
      <c r="M674" s="298">
        <v>4.8715974600000003</v>
      </c>
      <c r="N674" s="298">
        <v>5.3635569900000002</v>
      </c>
      <c r="O674" s="306">
        <v>6.6044075099999997</v>
      </c>
      <c r="P674" s="306" cm="1">
        <f t="array" ref="P674">INDEX($E$302:$E$676, MATCH($B674, $B$302:$B$676, 0) * MATCH("Brazil", $A$302:$A$676, 0))</f>
        <v>357742.69163840002</v>
      </c>
      <c r="Q674" s="306">
        <f t="shared" si="51"/>
        <v>357740.57278692001</v>
      </c>
      <c r="R674" s="336">
        <f>INDEX('Base GDP'!$A$1:$E$76,MATCH(A674,'Base GDP'!$A$1:$A$76,0),4)</f>
        <v>34069.891642009999</v>
      </c>
      <c r="S674" s="336">
        <f>INDEX('Base GDP'!$A$1:$E$76,MATCH(A674,'Base GDP'!$A$1:$A$76,0),5)</f>
        <v>41316.84413338</v>
      </c>
      <c r="T674" s="335">
        <f t="shared" si="52"/>
        <v>7.4963275399760675E-5</v>
      </c>
      <c r="U674" s="335">
        <f t="shared" si="53"/>
        <v>7.7242161567263966E-5</v>
      </c>
      <c r="V674" s="335">
        <f t="shared" si="54"/>
        <v>2.2788861675032907E-6</v>
      </c>
    </row>
    <row r="675" spans="1:22" x14ac:dyDescent="0.45">
      <c r="A675" s="293" t="s">
        <v>173</v>
      </c>
      <c r="B675" s="297" t="s">
        <v>8</v>
      </c>
      <c r="C675" s="293" t="str">
        <f t="shared" si="50"/>
        <v>PanamaManufacture of other transport equipment (C30)</v>
      </c>
      <c r="D675" s="297" t="s">
        <v>958</v>
      </c>
      <c r="E675" s="298">
        <v>1.67611957</v>
      </c>
      <c r="F675" s="298">
        <v>2.8747440700000002</v>
      </c>
      <c r="G675" s="302">
        <v>0.71511873105807133</v>
      </c>
      <c r="H675" s="303">
        <v>5548.371134</v>
      </c>
      <c r="I675" s="298">
        <v>2.86195734</v>
      </c>
      <c r="J675" s="298">
        <v>2.8747440700000002</v>
      </c>
      <c r="K675" s="302">
        <v>4.4678269033877616E-3</v>
      </c>
      <c r="L675" s="298">
        <v>3.0480173800000001</v>
      </c>
      <c r="M675" s="298">
        <v>3.27367264</v>
      </c>
      <c r="N675" s="298">
        <v>3.4429652000000002</v>
      </c>
      <c r="O675" s="306">
        <v>3.8284965</v>
      </c>
      <c r="P675" s="306" cm="1">
        <f t="array" ref="P675">INDEX($E$302:$E$676, MATCH($B675, $B$302:$B$676, 0) * MATCH("Brazil", $A$302:$A$676, 0))</f>
        <v>357742.69163840002</v>
      </c>
      <c r="Q675" s="306">
        <f t="shared" si="51"/>
        <v>357741.01551883004</v>
      </c>
      <c r="R675" s="336">
        <f>INDEX('Base GDP'!$A$1:$E$76,MATCH(A675,'Base GDP'!$A$1:$A$76,0),4)</f>
        <v>58921.61186117</v>
      </c>
      <c r="S675" s="336">
        <f>INDEX('Base GDP'!$A$1:$E$76,MATCH(A675,'Base GDP'!$A$1:$A$76,0),5)</f>
        <v>65983.988595749994</v>
      </c>
      <c r="T675" s="335">
        <f t="shared" si="52"/>
        <v>4.8572285271884452E-5</v>
      </c>
      <c r="U675" s="335">
        <f t="shared" si="53"/>
        <v>4.3567297630521863E-5</v>
      </c>
      <c r="V675" s="335">
        <f t="shared" si="54"/>
        <v>-5.0049876413625884E-6</v>
      </c>
    </row>
    <row r="676" spans="1:22" x14ac:dyDescent="0.45">
      <c r="A676" s="293" t="s">
        <v>158</v>
      </c>
      <c r="B676" s="297" t="s">
        <v>8</v>
      </c>
      <c r="C676" s="293" t="str">
        <f t="shared" si="50"/>
        <v>GhanaManufacture of other transport equipment (C30)</v>
      </c>
      <c r="D676" s="297" t="s">
        <v>958</v>
      </c>
      <c r="E676" s="298">
        <v>0.66303608999999997</v>
      </c>
      <c r="F676" s="298">
        <v>0.89825012999999998</v>
      </c>
      <c r="G676" s="302">
        <v>0.35475299692962414</v>
      </c>
      <c r="H676" s="303">
        <v>5549.3842174800002</v>
      </c>
      <c r="I676" s="298">
        <v>0.75892179999999998</v>
      </c>
      <c r="J676" s="298">
        <v>0.89825012999999998</v>
      </c>
      <c r="K676" s="302">
        <v>0.18358720226510816</v>
      </c>
      <c r="L676" s="298">
        <v>0.97805964999999995</v>
      </c>
      <c r="M676" s="298">
        <v>1.11413071</v>
      </c>
      <c r="N676" s="298">
        <v>1.2336121600000001</v>
      </c>
      <c r="O676" s="306">
        <v>1.5846221</v>
      </c>
      <c r="P676" s="306" cm="1">
        <f t="array" ref="P676">INDEX($E$302:$E$676, MATCH($B676, $B$302:$B$676, 0) * MATCH("Brazil", $A$302:$A$676, 0))</f>
        <v>357742.69163840002</v>
      </c>
      <c r="Q676" s="306">
        <f t="shared" si="51"/>
        <v>357742.02860231005</v>
      </c>
      <c r="R676" s="336">
        <f>INDEX('Base GDP'!$A$1:$E$76,MATCH(A676,'Base GDP'!$A$1:$A$76,0),4)</f>
        <v>54050.698328470004</v>
      </c>
      <c r="S676" s="336">
        <f>INDEX('Base GDP'!$A$1:$E$76,MATCH(A676,'Base GDP'!$A$1:$A$76,0),5)</f>
        <v>72367.878986030002</v>
      </c>
      <c r="T676" s="335">
        <f t="shared" si="52"/>
        <v>1.4040924973586416E-5</v>
      </c>
      <c r="U676" s="335">
        <f t="shared" si="53"/>
        <v>1.2412276587149935E-5</v>
      </c>
      <c r="V676" s="335">
        <f t="shared" si="54"/>
        <v>-1.6286483864364811E-6</v>
      </c>
    </row>
  </sheetData>
  <autoFilter ref="A1:Q676" xr:uid="{372A6190-FBE3-456B-9379-4743D6A5A148}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3D16-83C4-4DE5-BA5D-B2A1C39CB85C}">
  <sheetPr>
    <tabColor theme="3" tint="-0.249977111117893"/>
  </sheetPr>
  <dimension ref="A1:E79"/>
  <sheetViews>
    <sheetView workbookViewId="0"/>
  </sheetViews>
  <sheetFormatPr defaultColWidth="8.86328125" defaultRowHeight="14.25" x14ac:dyDescent="0.45"/>
  <cols>
    <col min="1" max="1" width="14.1328125" style="343" customWidth="1"/>
    <col min="2" max="2" width="8.86328125" style="343"/>
    <col min="3" max="3" width="29.796875" style="343" customWidth="1"/>
    <col min="4" max="4" width="13.796875" style="343" bestFit="1" customWidth="1"/>
    <col min="5" max="5" width="18.19921875" style="343" customWidth="1"/>
    <col min="6" max="16384" width="8.86328125" style="343"/>
  </cols>
  <sheetData>
    <row r="1" spans="1:5" x14ac:dyDescent="0.45">
      <c r="A1" s="346" t="s">
        <v>129</v>
      </c>
      <c r="B1" s="346" t="s">
        <v>956</v>
      </c>
      <c r="C1" s="346" t="s">
        <v>131</v>
      </c>
      <c r="D1" s="346" t="s">
        <v>25</v>
      </c>
      <c r="E1" s="346" t="s">
        <v>31</v>
      </c>
    </row>
    <row r="2" spans="1:5" x14ac:dyDescent="0.45">
      <c r="A2" s="343" t="s">
        <v>153</v>
      </c>
      <c r="B2" s="343" t="s">
        <v>957</v>
      </c>
      <c r="C2" s="343" t="s">
        <v>958</v>
      </c>
      <c r="D2" s="344">
        <v>83456.391863790006</v>
      </c>
      <c r="E2" s="344">
        <v>87715.792114070005</v>
      </c>
    </row>
    <row r="3" spans="1:5" x14ac:dyDescent="0.45">
      <c r="A3" s="343" t="s">
        <v>154</v>
      </c>
      <c r="B3" s="343" t="s">
        <v>957</v>
      </c>
      <c r="C3" s="343" t="s">
        <v>958</v>
      </c>
      <c r="D3" s="344">
        <v>243681.57424943999</v>
      </c>
      <c r="E3" s="344">
        <v>307178.14587732003</v>
      </c>
    </row>
    <row r="4" spans="1:5" x14ac:dyDescent="0.45">
      <c r="A4" s="343" t="s">
        <v>150</v>
      </c>
      <c r="B4" s="343" t="s">
        <v>957</v>
      </c>
      <c r="C4" s="343" t="s">
        <v>958</v>
      </c>
      <c r="D4" s="344">
        <v>291518.00825125998</v>
      </c>
      <c r="E4" s="344">
        <v>360513.15606205998</v>
      </c>
    </row>
    <row r="5" spans="1:5" x14ac:dyDescent="0.45">
      <c r="A5" s="343" t="s">
        <v>121</v>
      </c>
      <c r="B5" s="343" t="s">
        <v>957</v>
      </c>
      <c r="C5" s="343" t="s">
        <v>958</v>
      </c>
      <c r="D5" s="344">
        <v>331298.98374970001</v>
      </c>
      <c r="E5" s="344">
        <v>394237.177708</v>
      </c>
    </row>
    <row r="6" spans="1:5" x14ac:dyDescent="0.45">
      <c r="A6" s="343" t="s">
        <v>174</v>
      </c>
      <c r="B6" s="343" t="s">
        <v>957</v>
      </c>
      <c r="C6" s="343" t="s">
        <v>958</v>
      </c>
      <c r="D6" s="344">
        <v>77969.257644440004</v>
      </c>
      <c r="E6" s="344">
        <v>87884.425158479993</v>
      </c>
    </row>
    <row r="7" spans="1:5" x14ac:dyDescent="0.45">
      <c r="A7" s="343" t="s">
        <v>73</v>
      </c>
      <c r="B7" s="343" t="s">
        <v>957</v>
      </c>
      <c r="C7" s="343" t="s">
        <v>958</v>
      </c>
      <c r="D7" s="344">
        <v>546880.06131035998</v>
      </c>
      <c r="E7" s="344">
        <v>674049.24440882006</v>
      </c>
    </row>
    <row r="8" spans="1:5" x14ac:dyDescent="0.45">
      <c r="A8" s="343" t="s">
        <v>109</v>
      </c>
      <c r="B8" s="343" t="s">
        <v>957</v>
      </c>
      <c r="C8" s="343" t="s">
        <v>958</v>
      </c>
      <c r="D8" s="344">
        <v>474324.68093352998</v>
      </c>
      <c r="E8" s="344">
        <v>518585.14704719</v>
      </c>
    </row>
    <row r="9" spans="1:5" x14ac:dyDescent="0.45">
      <c r="A9" s="343" t="s">
        <v>104</v>
      </c>
      <c r="B9" s="343" t="s">
        <v>957</v>
      </c>
      <c r="C9" s="343" t="s">
        <v>958</v>
      </c>
      <c r="D9" s="344">
        <v>1478297.0807395</v>
      </c>
      <c r="E9" s="344">
        <v>1710728.7967964001</v>
      </c>
    </row>
    <row r="10" spans="1:5" x14ac:dyDescent="0.45">
      <c r="A10" s="343" t="s">
        <v>122</v>
      </c>
      <c r="B10" s="343" t="s">
        <v>957</v>
      </c>
      <c r="C10" s="343" t="s">
        <v>958</v>
      </c>
      <c r="D10" s="344">
        <v>254018.52751081</v>
      </c>
      <c r="E10" s="344">
        <v>352775.42056751001</v>
      </c>
    </row>
    <row r="11" spans="1:5" x14ac:dyDescent="0.45">
      <c r="A11" s="343" t="s">
        <v>72</v>
      </c>
      <c r="B11" s="343" t="s">
        <v>957</v>
      </c>
      <c r="C11" s="343" t="s">
        <v>958</v>
      </c>
      <c r="D11" s="344">
        <v>410010.85265116999</v>
      </c>
      <c r="E11" s="344">
        <v>432694.04992214998</v>
      </c>
    </row>
    <row r="12" spans="1:5" x14ac:dyDescent="0.45">
      <c r="A12" s="343" t="s">
        <v>118</v>
      </c>
      <c r="B12" s="343" t="s">
        <v>957</v>
      </c>
      <c r="C12" s="343" t="s">
        <v>958</v>
      </c>
      <c r="D12" s="344">
        <v>500331.50984029</v>
      </c>
      <c r="E12" s="344">
        <v>542439.84157398995</v>
      </c>
    </row>
    <row r="13" spans="1:5" x14ac:dyDescent="0.45">
      <c r="A13" s="343" t="s">
        <v>160</v>
      </c>
      <c r="B13" s="343" t="s">
        <v>957</v>
      </c>
      <c r="C13" s="343" t="s">
        <v>958</v>
      </c>
      <c r="D13" s="344">
        <v>60854.013563</v>
      </c>
      <c r="E13" s="344">
        <v>70836.911882080007</v>
      </c>
    </row>
    <row r="14" spans="1:5" x14ac:dyDescent="0.45">
      <c r="A14" s="343" t="s">
        <v>111</v>
      </c>
      <c r="B14" s="343" t="s">
        <v>957</v>
      </c>
      <c r="C14" s="343" t="s">
        <v>958</v>
      </c>
      <c r="D14" s="344">
        <v>220291.04889604999</v>
      </c>
      <c r="E14" s="344">
        <v>247058.51905223</v>
      </c>
    </row>
    <row r="15" spans="1:5" x14ac:dyDescent="0.45">
      <c r="A15" s="343" t="s">
        <v>116</v>
      </c>
      <c r="B15" s="343" t="s">
        <v>957</v>
      </c>
      <c r="C15" s="343" t="s">
        <v>958</v>
      </c>
      <c r="D15" s="344">
        <v>315318.76572541997</v>
      </c>
      <c r="E15" s="344">
        <v>361238.79673869</v>
      </c>
    </row>
    <row r="16" spans="1:5" x14ac:dyDescent="0.45">
      <c r="A16" s="343" t="s">
        <v>126</v>
      </c>
      <c r="B16" s="343" t="s">
        <v>957</v>
      </c>
      <c r="C16" s="343" t="s">
        <v>958</v>
      </c>
      <c r="D16" s="344">
        <v>247207.29862345001</v>
      </c>
      <c r="E16" s="344">
        <v>270499.52733732999</v>
      </c>
    </row>
    <row r="17" spans="1:5" x14ac:dyDescent="0.45">
      <c r="A17" s="343" t="s">
        <v>97</v>
      </c>
      <c r="B17" s="343" t="s">
        <v>957</v>
      </c>
      <c r="C17" s="343" t="s">
        <v>958</v>
      </c>
      <c r="D17" s="344">
        <v>2544956.5086996001</v>
      </c>
      <c r="E17" s="344">
        <v>2682424.2983101001</v>
      </c>
    </row>
    <row r="18" spans="1:5" x14ac:dyDescent="0.45">
      <c r="A18" s="343" t="s">
        <v>98</v>
      </c>
      <c r="B18" s="343" t="s">
        <v>957</v>
      </c>
      <c r="C18" s="343" t="s">
        <v>958</v>
      </c>
      <c r="D18" s="344">
        <v>3626843.1759532001</v>
      </c>
      <c r="E18" s="344">
        <v>3849084.4984781002</v>
      </c>
    </row>
    <row r="19" spans="1:5" x14ac:dyDescent="0.45">
      <c r="A19" s="343" t="s">
        <v>156</v>
      </c>
      <c r="B19" s="343" t="s">
        <v>957</v>
      </c>
      <c r="C19" s="343" t="s">
        <v>958</v>
      </c>
      <c r="D19" s="344">
        <v>196841.83448053</v>
      </c>
      <c r="E19" s="344">
        <v>201121.93838619001</v>
      </c>
    </row>
    <row r="20" spans="1:5" x14ac:dyDescent="0.45">
      <c r="A20" s="343" t="s">
        <v>113</v>
      </c>
      <c r="B20" s="343" t="s">
        <v>957</v>
      </c>
      <c r="C20" s="343" t="s">
        <v>958</v>
      </c>
      <c r="D20" s="344">
        <v>139098.07965294999</v>
      </c>
      <c r="E20" s="344">
        <v>167320.49519441</v>
      </c>
    </row>
    <row r="21" spans="1:5" x14ac:dyDescent="0.45">
      <c r="A21" s="343" t="s">
        <v>127</v>
      </c>
      <c r="B21" s="343" t="s">
        <v>957</v>
      </c>
      <c r="C21" s="343" t="s">
        <v>958</v>
      </c>
      <c r="D21" s="344">
        <v>308812.05776281998</v>
      </c>
      <c r="E21" s="344">
        <v>483748.84960921999</v>
      </c>
    </row>
    <row r="22" spans="1:5" x14ac:dyDescent="0.45">
      <c r="A22" s="343" t="s">
        <v>101</v>
      </c>
      <c r="B22" s="343" t="s">
        <v>957</v>
      </c>
      <c r="C22" s="343" t="s">
        <v>958</v>
      </c>
      <c r="D22" s="344">
        <v>1924364.2462229</v>
      </c>
      <c r="E22" s="344">
        <v>1980878.3634254001</v>
      </c>
    </row>
    <row r="23" spans="1:5" x14ac:dyDescent="0.45">
      <c r="A23" s="343" t="s">
        <v>66</v>
      </c>
      <c r="B23" s="343" t="s">
        <v>957</v>
      </c>
      <c r="C23" s="343" t="s">
        <v>958</v>
      </c>
      <c r="D23" s="344">
        <v>829203.89806390996</v>
      </c>
      <c r="E23" s="344">
        <v>928325.09368340997</v>
      </c>
    </row>
    <row r="24" spans="1:5" x14ac:dyDescent="0.45">
      <c r="A24" s="343" t="s">
        <v>151</v>
      </c>
      <c r="B24" s="343" t="s">
        <v>957</v>
      </c>
      <c r="C24" s="343" t="s">
        <v>958</v>
      </c>
      <c r="D24" s="344">
        <v>386512.35690163</v>
      </c>
      <c r="E24" s="344">
        <v>418559.21595058002</v>
      </c>
    </row>
    <row r="25" spans="1:5" x14ac:dyDescent="0.45">
      <c r="A25" s="343" t="s">
        <v>112</v>
      </c>
      <c r="B25" s="343" t="s">
        <v>957</v>
      </c>
      <c r="C25" s="343" t="s">
        <v>958</v>
      </c>
      <c r="D25" s="344">
        <v>496555.53410177003</v>
      </c>
      <c r="E25" s="344">
        <v>623108.57565016998</v>
      </c>
    </row>
    <row r="26" spans="1:5" x14ac:dyDescent="0.45">
      <c r="A26" s="343" t="s">
        <v>161</v>
      </c>
      <c r="B26" s="343" t="s">
        <v>957</v>
      </c>
      <c r="C26" s="343" t="s">
        <v>958</v>
      </c>
      <c r="D26" s="344">
        <v>215192.52938671</v>
      </c>
      <c r="E26" s="344">
        <v>232686.90641277001</v>
      </c>
    </row>
    <row r="27" spans="1:5" x14ac:dyDescent="0.45">
      <c r="A27" s="343" t="s">
        <v>162</v>
      </c>
      <c r="B27" s="343" t="s">
        <v>957</v>
      </c>
      <c r="C27" s="343" t="s">
        <v>958</v>
      </c>
      <c r="D27" s="344">
        <v>204518.17392167001</v>
      </c>
      <c r="E27" s="344">
        <v>254974.25152873</v>
      </c>
    </row>
    <row r="28" spans="1:5" x14ac:dyDescent="0.45">
      <c r="A28" s="343" t="s">
        <v>146</v>
      </c>
      <c r="B28" s="343" t="s">
        <v>957</v>
      </c>
      <c r="C28" s="343" t="s">
        <v>958</v>
      </c>
      <c r="D28" s="344">
        <v>276522.47435759002</v>
      </c>
      <c r="E28" s="344">
        <v>357883.01385108999</v>
      </c>
    </row>
    <row r="29" spans="1:5" x14ac:dyDescent="0.45">
      <c r="A29" s="343" t="s">
        <v>106</v>
      </c>
      <c r="B29" s="343" t="s">
        <v>957</v>
      </c>
      <c r="C29" s="343" t="s">
        <v>958</v>
      </c>
      <c r="D29" s="344">
        <v>1579786.0768998</v>
      </c>
      <c r="E29" s="344">
        <v>1741025.8573970001</v>
      </c>
    </row>
    <row r="30" spans="1:5" x14ac:dyDescent="0.45">
      <c r="A30" s="343" t="s">
        <v>77</v>
      </c>
      <c r="B30" s="343" t="s">
        <v>957</v>
      </c>
      <c r="C30" s="343" t="s">
        <v>958</v>
      </c>
      <c r="D30" s="344">
        <v>1259732.1048611</v>
      </c>
      <c r="E30" s="344">
        <v>1317888.2673469</v>
      </c>
    </row>
    <row r="31" spans="1:5" x14ac:dyDescent="0.45">
      <c r="A31" s="343" t="s">
        <v>74</v>
      </c>
      <c r="B31" s="343" t="s">
        <v>957</v>
      </c>
      <c r="C31" s="343" t="s">
        <v>958</v>
      </c>
      <c r="D31" s="344">
        <v>490179.06760786998</v>
      </c>
      <c r="E31" s="344">
        <v>552840.30345001002</v>
      </c>
    </row>
    <row r="32" spans="1:5" x14ac:dyDescent="0.45">
      <c r="A32" s="343" t="s">
        <v>67</v>
      </c>
      <c r="B32" s="343" t="s">
        <v>957</v>
      </c>
      <c r="C32" s="343" t="s">
        <v>958</v>
      </c>
      <c r="D32" s="344">
        <v>669989.49931316997</v>
      </c>
      <c r="E32" s="344">
        <v>743458.79269773001</v>
      </c>
    </row>
    <row r="33" spans="1:5" x14ac:dyDescent="0.45">
      <c r="A33" s="343" t="s">
        <v>108</v>
      </c>
      <c r="B33" s="343" t="s">
        <v>957</v>
      </c>
      <c r="C33" s="343" t="s">
        <v>958</v>
      </c>
      <c r="D33" s="344">
        <v>659235.83503077005</v>
      </c>
      <c r="E33" s="344">
        <v>865088.75381619995</v>
      </c>
    </row>
    <row r="34" spans="1:5" x14ac:dyDescent="0.45">
      <c r="A34" s="343" t="s">
        <v>149</v>
      </c>
      <c r="B34" s="343" t="s">
        <v>957</v>
      </c>
      <c r="C34" s="343" t="s">
        <v>958</v>
      </c>
      <c r="D34" s="344">
        <v>137743.94890503999</v>
      </c>
      <c r="E34" s="344">
        <v>153275.23415388001</v>
      </c>
    </row>
    <row r="35" spans="1:5" x14ac:dyDescent="0.45">
      <c r="A35" s="343" t="s">
        <v>76</v>
      </c>
      <c r="B35" s="343" t="s">
        <v>957</v>
      </c>
      <c r="C35" s="343" t="s">
        <v>958</v>
      </c>
      <c r="D35" s="344">
        <v>2643868.3114987002</v>
      </c>
      <c r="E35" s="344">
        <v>2777419.6130784</v>
      </c>
    </row>
    <row r="36" spans="1:5" x14ac:dyDescent="0.45">
      <c r="A36" s="343" t="s">
        <v>142</v>
      </c>
      <c r="B36" s="343" t="s">
        <v>957</v>
      </c>
      <c r="C36" s="343" t="s">
        <v>958</v>
      </c>
      <c r="D36" s="344">
        <v>464976.94374428003</v>
      </c>
      <c r="E36" s="344">
        <v>445673.70595729002</v>
      </c>
    </row>
    <row r="37" spans="1:5" x14ac:dyDescent="0.45">
      <c r="A37" s="343" t="s">
        <v>177</v>
      </c>
      <c r="B37" s="343" t="s">
        <v>957</v>
      </c>
      <c r="C37" s="343" t="s">
        <v>958</v>
      </c>
      <c r="D37" s="344">
        <v>35334.894672080001</v>
      </c>
      <c r="E37" s="344">
        <v>39600.741188879998</v>
      </c>
    </row>
    <row r="38" spans="1:5" x14ac:dyDescent="0.45">
      <c r="A38" s="343" t="s">
        <v>18</v>
      </c>
      <c r="B38" s="343" t="s">
        <v>957</v>
      </c>
      <c r="C38" s="343" t="s">
        <v>958</v>
      </c>
      <c r="D38" s="344">
        <v>1855726.8356911</v>
      </c>
      <c r="E38" s="344">
        <v>1898091.4722179</v>
      </c>
    </row>
    <row r="39" spans="1:5" x14ac:dyDescent="0.45">
      <c r="A39" s="343" t="s">
        <v>170</v>
      </c>
      <c r="B39" s="343" t="s">
        <v>957</v>
      </c>
      <c r="C39" s="343" t="s">
        <v>958</v>
      </c>
      <c r="D39" s="344">
        <v>257576.69277617999</v>
      </c>
      <c r="E39" s="344">
        <v>291863.26262717001</v>
      </c>
    </row>
    <row r="40" spans="1:5" x14ac:dyDescent="0.45">
      <c r="A40" s="343" t="s">
        <v>152</v>
      </c>
      <c r="B40" s="343" t="s">
        <v>957</v>
      </c>
      <c r="C40" s="343" t="s">
        <v>958</v>
      </c>
      <c r="D40" s="344">
        <v>295018.32730579999</v>
      </c>
      <c r="E40" s="344">
        <v>332655.81031924998</v>
      </c>
    </row>
    <row r="41" spans="1:5" x14ac:dyDescent="0.45">
      <c r="A41" s="343" t="s">
        <v>169</v>
      </c>
      <c r="B41" s="343" t="s">
        <v>957</v>
      </c>
      <c r="C41" s="343" t="s">
        <v>958</v>
      </c>
      <c r="D41" s="344">
        <v>56790.776904650003</v>
      </c>
      <c r="E41" s="344">
        <v>66933.267445050005</v>
      </c>
    </row>
    <row r="42" spans="1:5" x14ac:dyDescent="0.45">
      <c r="A42" s="343" t="s">
        <v>165</v>
      </c>
      <c r="B42" s="343" t="s">
        <v>957</v>
      </c>
      <c r="C42" s="343" t="s">
        <v>958</v>
      </c>
      <c r="D42" s="344">
        <v>105544.34131757999</v>
      </c>
      <c r="E42" s="344">
        <v>103911.06087433999</v>
      </c>
    </row>
    <row r="43" spans="1:5" x14ac:dyDescent="0.45">
      <c r="A43" s="343" t="s">
        <v>166</v>
      </c>
      <c r="B43" s="343" t="s">
        <v>957</v>
      </c>
      <c r="C43" s="343" t="s">
        <v>958</v>
      </c>
      <c r="D43" s="344">
        <v>21608.112082880001</v>
      </c>
      <c r="E43" s="344">
        <v>25703.55773198</v>
      </c>
    </row>
    <row r="44" spans="1:5" x14ac:dyDescent="0.45">
      <c r="A44" s="343" t="s">
        <v>75</v>
      </c>
      <c r="B44" s="343" t="s">
        <v>957</v>
      </c>
      <c r="C44" s="343" t="s">
        <v>958</v>
      </c>
      <c r="D44" s="344">
        <v>1239119.2771185001</v>
      </c>
      <c r="E44" s="344">
        <v>1262038.2891611001</v>
      </c>
    </row>
    <row r="45" spans="1:5" x14ac:dyDescent="0.45">
      <c r="A45" s="343" t="s">
        <v>173</v>
      </c>
      <c r="B45" s="343" t="s">
        <v>957</v>
      </c>
      <c r="C45" s="343" t="s">
        <v>958</v>
      </c>
      <c r="D45" s="344">
        <v>58921.61186117</v>
      </c>
      <c r="E45" s="344">
        <v>65983.988595749994</v>
      </c>
    </row>
    <row r="46" spans="1:5" x14ac:dyDescent="0.45">
      <c r="A46" s="343" t="s">
        <v>147</v>
      </c>
      <c r="B46" s="343" t="s">
        <v>957</v>
      </c>
      <c r="C46" s="343" t="s">
        <v>958</v>
      </c>
      <c r="D46" s="344">
        <v>205342.67167914001</v>
      </c>
      <c r="E46" s="344">
        <v>235110.76142220001</v>
      </c>
    </row>
    <row r="47" spans="1:5" x14ac:dyDescent="0.45">
      <c r="A47" s="343" t="s">
        <v>172</v>
      </c>
      <c r="B47" s="343" t="s">
        <v>957</v>
      </c>
      <c r="C47" s="343" t="s">
        <v>958</v>
      </c>
      <c r="D47" s="344">
        <v>59449.563607900003</v>
      </c>
      <c r="E47" s="344">
        <v>61243.536031950003</v>
      </c>
    </row>
    <row r="48" spans="1:5" x14ac:dyDescent="0.45">
      <c r="A48" s="343" t="s">
        <v>148</v>
      </c>
      <c r="B48" s="343" t="s">
        <v>957</v>
      </c>
      <c r="C48" s="343" t="s">
        <v>958</v>
      </c>
      <c r="D48" s="344">
        <v>33332.328188890002</v>
      </c>
      <c r="E48" s="344">
        <v>36767.801730239997</v>
      </c>
    </row>
    <row r="49" spans="1:5" x14ac:dyDescent="0.45">
      <c r="A49" s="343" t="s">
        <v>107</v>
      </c>
      <c r="B49" s="343" t="s">
        <v>957</v>
      </c>
      <c r="C49" s="343" t="s">
        <v>958</v>
      </c>
      <c r="D49" s="344">
        <v>195024.47923529</v>
      </c>
      <c r="E49" s="344">
        <v>224406.94908081999</v>
      </c>
    </row>
    <row r="50" spans="1:5" x14ac:dyDescent="0.45">
      <c r="A50" s="343" t="s">
        <v>123</v>
      </c>
      <c r="B50" s="343" t="s">
        <v>957</v>
      </c>
      <c r="C50" s="343" t="s">
        <v>958</v>
      </c>
      <c r="D50" s="344">
        <v>339252.33917334001</v>
      </c>
      <c r="E50" s="344">
        <v>430314.68651226</v>
      </c>
    </row>
    <row r="51" spans="1:5" x14ac:dyDescent="0.45">
      <c r="A51" s="343" t="s">
        <v>176</v>
      </c>
      <c r="B51" s="343" t="s">
        <v>957</v>
      </c>
      <c r="C51" s="343" t="s">
        <v>958</v>
      </c>
      <c r="D51" s="344">
        <v>41181.394892199998</v>
      </c>
      <c r="E51" s="344">
        <v>44841.419332370002</v>
      </c>
    </row>
    <row r="52" spans="1:5" x14ac:dyDescent="0.45">
      <c r="A52" s="343" t="s">
        <v>159</v>
      </c>
      <c r="B52" s="343" t="s">
        <v>957</v>
      </c>
      <c r="C52" s="343" t="s">
        <v>958</v>
      </c>
      <c r="D52" s="344">
        <v>136318.13330372999</v>
      </c>
      <c r="E52" s="344">
        <v>128320.86664452001</v>
      </c>
    </row>
    <row r="53" spans="1:5" x14ac:dyDescent="0.45">
      <c r="A53" s="343" t="s">
        <v>155</v>
      </c>
      <c r="B53" s="343" t="s">
        <v>957</v>
      </c>
      <c r="C53" s="343" t="s">
        <v>958</v>
      </c>
      <c r="D53" s="344">
        <v>170576.82347613</v>
      </c>
      <c r="E53" s="344">
        <v>172715.39534024999</v>
      </c>
    </row>
    <row r="54" spans="1:5" x14ac:dyDescent="0.45">
      <c r="A54" s="343" t="s">
        <v>105</v>
      </c>
      <c r="B54" s="343" t="s">
        <v>957</v>
      </c>
      <c r="C54" s="343" t="s">
        <v>958</v>
      </c>
      <c r="D54" s="344">
        <v>791157.39281293005</v>
      </c>
      <c r="E54" s="344">
        <v>836861.61444072996</v>
      </c>
    </row>
    <row r="55" spans="1:5" x14ac:dyDescent="0.45">
      <c r="A55" s="343" t="s">
        <v>158</v>
      </c>
      <c r="B55" s="343" t="s">
        <v>957</v>
      </c>
      <c r="C55" s="343" t="s">
        <v>958</v>
      </c>
      <c r="D55" s="344">
        <v>54050.698328470004</v>
      </c>
      <c r="E55" s="344">
        <v>72367.878986030002</v>
      </c>
    </row>
    <row r="56" spans="1:5" x14ac:dyDescent="0.45">
      <c r="A56" s="343" t="s">
        <v>143</v>
      </c>
      <c r="B56" s="343" t="s">
        <v>957</v>
      </c>
      <c r="C56" s="343" t="s">
        <v>958</v>
      </c>
      <c r="D56" s="344">
        <v>383753.13090967003</v>
      </c>
      <c r="E56" s="344">
        <v>414599.77007557999</v>
      </c>
    </row>
    <row r="57" spans="1:5" x14ac:dyDescent="0.45">
      <c r="A57" s="343" t="s">
        <v>63</v>
      </c>
      <c r="B57" s="343" t="s">
        <v>957</v>
      </c>
      <c r="C57" s="343" t="s">
        <v>958</v>
      </c>
      <c r="D57" s="344">
        <v>1599989.9756132001</v>
      </c>
      <c r="E57" s="344">
        <v>1743385.5162593001</v>
      </c>
    </row>
    <row r="58" spans="1:5" x14ac:dyDescent="0.45">
      <c r="A58" s="343" t="s">
        <v>141</v>
      </c>
      <c r="B58" s="343" t="s">
        <v>957</v>
      </c>
      <c r="C58" s="343" t="s">
        <v>958</v>
      </c>
      <c r="D58" s="344">
        <v>19553083.060252</v>
      </c>
      <c r="E58" s="344">
        <v>22265681.170655001</v>
      </c>
    </row>
    <row r="59" spans="1:5" x14ac:dyDescent="0.45">
      <c r="A59" s="343" t="s">
        <v>175</v>
      </c>
      <c r="B59" s="343" t="s">
        <v>957</v>
      </c>
      <c r="C59" s="343" t="s">
        <v>958</v>
      </c>
      <c r="D59" s="344">
        <v>83525.195225389994</v>
      </c>
      <c r="E59" s="344">
        <v>107697.99713524</v>
      </c>
    </row>
    <row r="60" spans="1:5" x14ac:dyDescent="0.45">
      <c r="A60" s="343" t="s">
        <v>157</v>
      </c>
      <c r="B60" s="343" t="s">
        <v>957</v>
      </c>
      <c r="C60" s="343" t="s">
        <v>958</v>
      </c>
      <c r="D60" s="344">
        <v>94460.171576160006</v>
      </c>
      <c r="E60" s="344">
        <v>107076.6714533</v>
      </c>
    </row>
    <row r="61" spans="1:5" x14ac:dyDescent="0.45">
      <c r="A61" s="343" t="s">
        <v>164</v>
      </c>
      <c r="B61" s="343" t="s">
        <v>957</v>
      </c>
      <c r="C61" s="343" t="s">
        <v>958</v>
      </c>
      <c r="D61" s="344">
        <v>115608.87885166</v>
      </c>
      <c r="E61" s="344">
        <v>129710.11086108</v>
      </c>
    </row>
    <row r="62" spans="1:5" x14ac:dyDescent="0.45">
      <c r="A62" s="343" t="s">
        <v>102</v>
      </c>
      <c r="B62" s="343" t="s">
        <v>957</v>
      </c>
      <c r="C62" s="343" t="s">
        <v>958</v>
      </c>
      <c r="D62" s="344">
        <v>460034.71302222001</v>
      </c>
      <c r="E62" s="344">
        <v>483780.49839321</v>
      </c>
    </row>
    <row r="63" spans="1:5" x14ac:dyDescent="0.45">
      <c r="A63" s="343" t="s">
        <v>178</v>
      </c>
      <c r="B63" s="343" t="s">
        <v>957</v>
      </c>
      <c r="C63" s="343" t="s">
        <v>958</v>
      </c>
      <c r="D63" s="344">
        <v>18437.455260710001</v>
      </c>
      <c r="E63" s="344">
        <v>25150.80803964</v>
      </c>
    </row>
    <row r="64" spans="1:5" x14ac:dyDescent="0.45">
      <c r="A64" s="343" t="s">
        <v>145</v>
      </c>
      <c r="B64" s="343" t="s">
        <v>957</v>
      </c>
      <c r="C64" s="343" t="s">
        <v>958</v>
      </c>
      <c r="D64" s="344">
        <v>375376.48654821003</v>
      </c>
      <c r="E64" s="344">
        <v>383209.69906191999</v>
      </c>
    </row>
    <row r="65" spans="1:5" x14ac:dyDescent="0.45">
      <c r="A65" s="343" t="s">
        <v>179</v>
      </c>
      <c r="B65" s="343" t="s">
        <v>957</v>
      </c>
      <c r="C65" s="343" t="s">
        <v>958</v>
      </c>
      <c r="D65" s="344">
        <v>74892116.540485993</v>
      </c>
      <c r="E65" s="344">
        <v>87029234.955234006</v>
      </c>
    </row>
    <row r="66" spans="1:5" x14ac:dyDescent="0.45">
      <c r="A66" s="343" t="s">
        <v>168</v>
      </c>
      <c r="B66" s="343" t="s">
        <v>957</v>
      </c>
      <c r="C66" s="343" t="s">
        <v>958</v>
      </c>
      <c r="D66" s="344">
        <v>38884.65391288</v>
      </c>
      <c r="E66" s="344">
        <v>40072.692608359997</v>
      </c>
    </row>
    <row r="67" spans="1:5" x14ac:dyDescent="0.45">
      <c r="A67" s="343" t="s">
        <v>120</v>
      </c>
      <c r="B67" s="343" t="s">
        <v>957</v>
      </c>
      <c r="C67" s="343" t="s">
        <v>958</v>
      </c>
      <c r="D67" s="344">
        <v>1256563.3075111001</v>
      </c>
      <c r="E67" s="344">
        <v>1430586.2916371</v>
      </c>
    </row>
    <row r="68" spans="1:5" x14ac:dyDescent="0.45">
      <c r="A68" s="343" t="s">
        <v>124</v>
      </c>
      <c r="B68" s="343" t="s">
        <v>957</v>
      </c>
      <c r="C68" s="343" t="s">
        <v>958</v>
      </c>
      <c r="D68" s="344">
        <v>264392.25455249997</v>
      </c>
      <c r="E68" s="344">
        <v>386628.84638325998</v>
      </c>
    </row>
    <row r="69" spans="1:5" x14ac:dyDescent="0.45">
      <c r="A69" s="343" t="s">
        <v>907</v>
      </c>
      <c r="B69" s="343" t="s">
        <v>957</v>
      </c>
      <c r="C69" s="343" t="s">
        <v>958</v>
      </c>
      <c r="D69" s="344">
        <v>11048064.947659001</v>
      </c>
      <c r="E69" s="344">
        <v>15827750.501527</v>
      </c>
    </row>
    <row r="70" spans="1:5" x14ac:dyDescent="0.45">
      <c r="A70" s="343" t="s">
        <v>167</v>
      </c>
      <c r="B70" s="343" t="s">
        <v>957</v>
      </c>
      <c r="C70" s="343" t="s">
        <v>958</v>
      </c>
      <c r="D70" s="344">
        <v>338559.97086627001</v>
      </c>
      <c r="E70" s="344">
        <v>361197.76240428002</v>
      </c>
    </row>
    <row r="71" spans="1:5" x14ac:dyDescent="0.45">
      <c r="A71" s="343" t="s">
        <v>70</v>
      </c>
      <c r="B71" s="343" t="s">
        <v>957</v>
      </c>
      <c r="C71" s="343" t="s">
        <v>958</v>
      </c>
      <c r="D71" s="344">
        <v>2233583.9807687998</v>
      </c>
      <c r="E71" s="344">
        <v>2928405.219999</v>
      </c>
    </row>
    <row r="72" spans="1:5" x14ac:dyDescent="0.45">
      <c r="A72" s="343" t="s">
        <v>99</v>
      </c>
      <c r="B72" s="343" t="s">
        <v>957</v>
      </c>
      <c r="C72" s="343" t="s">
        <v>958</v>
      </c>
      <c r="D72" s="344">
        <v>917924.88667253999</v>
      </c>
      <c r="E72" s="344">
        <v>1136354.4627425</v>
      </c>
    </row>
    <row r="73" spans="1:5" x14ac:dyDescent="0.45">
      <c r="A73" s="343" t="s">
        <v>100</v>
      </c>
      <c r="B73" s="343" t="s">
        <v>957</v>
      </c>
      <c r="C73" s="343" t="s">
        <v>958</v>
      </c>
      <c r="D73" s="344">
        <v>4983596.864085</v>
      </c>
      <c r="E73" s="344">
        <v>5032370.4042106001</v>
      </c>
    </row>
    <row r="74" spans="1:5" x14ac:dyDescent="0.45">
      <c r="A74" s="343" t="s">
        <v>144</v>
      </c>
      <c r="B74" s="343" t="s">
        <v>957</v>
      </c>
      <c r="C74" s="343" t="s">
        <v>958</v>
      </c>
      <c r="D74" s="344">
        <v>301830.41438700003</v>
      </c>
      <c r="E74" s="344">
        <v>356559.39228144003</v>
      </c>
    </row>
    <row r="75" spans="1:5" x14ac:dyDescent="0.45">
      <c r="A75" s="343" t="s">
        <v>171</v>
      </c>
      <c r="B75" s="343" t="s">
        <v>957</v>
      </c>
      <c r="C75" s="343" t="s">
        <v>958</v>
      </c>
      <c r="D75" s="344">
        <v>34069.891642009999</v>
      </c>
      <c r="E75" s="344">
        <v>41316.84413338</v>
      </c>
    </row>
    <row r="76" spans="1:5" x14ac:dyDescent="0.45">
      <c r="A76" s="343" t="s">
        <v>163</v>
      </c>
      <c r="B76" s="343" t="s">
        <v>957</v>
      </c>
      <c r="C76" s="343" t="s">
        <v>958</v>
      </c>
      <c r="D76" s="344">
        <v>180884.85070677</v>
      </c>
      <c r="E76" s="344">
        <v>220909.49174857</v>
      </c>
    </row>
    <row r="78" spans="1:5" ht="15.75" x14ac:dyDescent="0.5">
      <c r="A78" s="342" t="s">
        <v>959</v>
      </c>
    </row>
    <row r="79" spans="1:5" ht="15.75" x14ac:dyDescent="0.5">
      <c r="A79" s="345" t="s">
        <v>960</v>
      </c>
    </row>
  </sheetData>
  <autoFilter ref="A1:E76" xr:uid="{59EA3D16-83C4-4DE5-BA5D-B2A1C39CB85C}"/>
  <hyperlinks>
    <hyperlink ref="A79" r:id="rId1" xr:uid="{A6B0D397-3AB3-482C-8C6A-D812AAC051D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6901-C461-41B6-8A3C-E6DDB11D2344}">
  <dimension ref="B4:J21"/>
  <sheetViews>
    <sheetView workbookViewId="0">
      <selection activeCell="B5" sqref="B5:B6"/>
    </sheetView>
  </sheetViews>
  <sheetFormatPr defaultRowHeight="14.25" x14ac:dyDescent="0.45"/>
  <cols>
    <col min="2" max="2" width="34.33203125" customWidth="1"/>
    <col min="4" max="4" width="7.6640625" customWidth="1"/>
    <col min="5" max="7" width="22.33203125" customWidth="1"/>
    <col min="10" max="10" width="11.53125" customWidth="1"/>
  </cols>
  <sheetData>
    <row r="4" spans="2:10" ht="14.65" thickBot="1" x14ac:dyDescent="0.5">
      <c r="G4" s="12">
        <f>G5+G6</f>
        <v>6490784890</v>
      </c>
    </row>
    <row r="5" spans="2:10" ht="33.6" customHeight="1" thickBot="1" x14ac:dyDescent="0.5">
      <c r="B5" s="438" t="s">
        <v>680</v>
      </c>
      <c r="C5" s="133" t="s">
        <v>765</v>
      </c>
      <c r="D5" s="134" t="s">
        <v>681</v>
      </c>
      <c r="E5" s="136">
        <v>2112057975</v>
      </c>
      <c r="F5" s="136">
        <v>2902319810</v>
      </c>
      <c r="G5" s="136">
        <v>2939325570</v>
      </c>
      <c r="J5" s="13">
        <f>J21/G5</f>
        <v>1.2894420538790469E-2</v>
      </c>
    </row>
    <row r="6" spans="2:10" ht="14.65" thickBot="1" x14ac:dyDescent="0.5">
      <c r="B6" s="440"/>
      <c r="C6" s="133" t="s">
        <v>766</v>
      </c>
      <c r="D6" s="135" t="s">
        <v>681</v>
      </c>
      <c r="E6" s="137">
        <v>2609281130</v>
      </c>
      <c r="F6" s="137">
        <v>3013460941</v>
      </c>
      <c r="G6" s="137">
        <v>3551459320</v>
      </c>
      <c r="I6" s="13">
        <f>G21/G4</f>
        <v>6.0949719749532477E-3</v>
      </c>
    </row>
    <row r="7" spans="2:10" ht="39.6" customHeight="1" thickBot="1" x14ac:dyDescent="0.5">
      <c r="B7" s="438" t="s">
        <v>767</v>
      </c>
      <c r="C7" s="133" t="s">
        <v>765</v>
      </c>
      <c r="D7" s="135" t="s">
        <v>681</v>
      </c>
      <c r="E7" s="135"/>
      <c r="F7" s="137">
        <v>31294</v>
      </c>
      <c r="G7" s="137">
        <v>308159</v>
      </c>
      <c r="J7" s="11">
        <f>G7</f>
        <v>308159</v>
      </c>
    </row>
    <row r="8" spans="2:10" ht="24" customHeight="1" thickBot="1" x14ac:dyDescent="0.5">
      <c r="B8" s="439"/>
      <c r="C8" s="133" t="s">
        <v>766</v>
      </c>
      <c r="D8" s="134" t="s">
        <v>681</v>
      </c>
      <c r="E8" s="134"/>
      <c r="F8" s="136">
        <v>195196</v>
      </c>
      <c r="G8" s="136">
        <v>442647</v>
      </c>
      <c r="J8" s="11" t="s">
        <v>222</v>
      </c>
    </row>
    <row r="9" spans="2:10" ht="24" customHeight="1" thickBot="1" x14ac:dyDescent="0.5">
      <c r="B9" s="438" t="s">
        <v>768</v>
      </c>
      <c r="C9" s="133" t="s">
        <v>765</v>
      </c>
      <c r="D9" s="135" t="s">
        <v>681</v>
      </c>
      <c r="E9" s="135"/>
      <c r="F9" s="137">
        <v>14562454</v>
      </c>
      <c r="G9" s="137">
        <v>17449938</v>
      </c>
      <c r="J9" s="11">
        <f t="shared" ref="J9" si="0">G9</f>
        <v>17449938</v>
      </c>
    </row>
    <row r="10" spans="2:10" ht="24" customHeight="1" thickBot="1" x14ac:dyDescent="0.5">
      <c r="B10" s="439"/>
      <c r="C10" s="133" t="s">
        <v>766</v>
      </c>
      <c r="D10" s="134" t="s">
        <v>681</v>
      </c>
      <c r="E10" s="134"/>
      <c r="F10" s="136">
        <v>249362</v>
      </c>
      <c r="G10" s="136">
        <v>1055934</v>
      </c>
      <c r="J10" s="11" t="s">
        <v>222</v>
      </c>
    </row>
    <row r="11" spans="2:10" ht="24" customHeight="1" thickBot="1" x14ac:dyDescent="0.5">
      <c r="B11" s="438" t="s">
        <v>769</v>
      </c>
      <c r="C11" s="133" t="s">
        <v>765</v>
      </c>
      <c r="D11" s="135" t="s">
        <v>681</v>
      </c>
      <c r="E11" s="135"/>
      <c r="F11" s="137">
        <v>866293</v>
      </c>
      <c r="G11" s="137">
        <v>1755358</v>
      </c>
      <c r="J11" s="11">
        <f t="shared" ref="J11" si="1">G11</f>
        <v>1755358</v>
      </c>
    </row>
    <row r="12" spans="2:10" ht="24" customHeight="1" thickBot="1" x14ac:dyDescent="0.5">
      <c r="B12" s="439"/>
      <c r="C12" s="133" t="s">
        <v>766</v>
      </c>
      <c r="D12" s="134" t="s">
        <v>681</v>
      </c>
      <c r="E12" s="134"/>
      <c r="F12" s="134"/>
      <c r="G12" s="136">
        <v>43952</v>
      </c>
      <c r="J12" s="11" t="s">
        <v>222</v>
      </c>
    </row>
    <row r="13" spans="2:10" ht="24" customHeight="1" thickBot="1" x14ac:dyDescent="0.5">
      <c r="B13" s="438" t="s">
        <v>770</v>
      </c>
      <c r="C13" s="133" t="s">
        <v>765</v>
      </c>
      <c r="D13" s="135" t="s">
        <v>681</v>
      </c>
      <c r="E13" s="135"/>
      <c r="F13" s="137">
        <v>3223565</v>
      </c>
      <c r="G13" s="137">
        <v>15968127</v>
      </c>
      <c r="J13" s="11">
        <f t="shared" ref="J13" si="2">G13</f>
        <v>15968127</v>
      </c>
    </row>
    <row r="14" spans="2:10" ht="24" customHeight="1" thickBot="1" x14ac:dyDescent="0.5">
      <c r="B14" s="439"/>
      <c r="C14" s="133" t="s">
        <v>766</v>
      </c>
      <c r="D14" s="134" t="s">
        <v>681</v>
      </c>
      <c r="E14" s="134"/>
      <c r="F14" s="136">
        <v>19361</v>
      </c>
      <c r="G14" s="136">
        <v>1068</v>
      </c>
      <c r="J14" s="11" t="s">
        <v>222</v>
      </c>
    </row>
    <row r="15" spans="2:10" ht="24" customHeight="1" thickBot="1" x14ac:dyDescent="0.5">
      <c r="B15" s="438" t="s">
        <v>771</v>
      </c>
      <c r="C15" s="133" t="s">
        <v>765</v>
      </c>
      <c r="D15" s="135" t="s">
        <v>681</v>
      </c>
      <c r="E15" s="135"/>
      <c r="F15" s="137">
        <v>292968</v>
      </c>
      <c r="G15" s="137">
        <v>1946767</v>
      </c>
      <c r="J15" s="11">
        <f t="shared" ref="J15" si="3">G15</f>
        <v>1946767</v>
      </c>
    </row>
    <row r="16" spans="2:10" ht="24" customHeight="1" thickBot="1" x14ac:dyDescent="0.5">
      <c r="B16" s="439"/>
      <c r="C16" s="133" t="s">
        <v>766</v>
      </c>
      <c r="D16" s="134" t="s">
        <v>681</v>
      </c>
      <c r="E16" s="134"/>
      <c r="F16" s="134"/>
      <c r="G16" s="136">
        <v>28825</v>
      </c>
      <c r="J16" s="11" t="s">
        <v>222</v>
      </c>
    </row>
    <row r="17" spans="2:10" ht="24" customHeight="1" thickBot="1" x14ac:dyDescent="0.5">
      <c r="B17" s="438" t="s">
        <v>772</v>
      </c>
      <c r="C17" s="133" t="s">
        <v>765</v>
      </c>
      <c r="D17" s="135" t="s">
        <v>681</v>
      </c>
      <c r="E17" s="135"/>
      <c r="F17" s="135"/>
      <c r="G17" s="137">
        <v>416928</v>
      </c>
      <c r="J17" s="11">
        <f t="shared" ref="J17" si="4">G17</f>
        <v>416928</v>
      </c>
    </row>
    <row r="18" spans="2:10" ht="24" customHeight="1" thickBot="1" x14ac:dyDescent="0.5">
      <c r="B18" s="439"/>
      <c r="C18" s="133" t="s">
        <v>766</v>
      </c>
      <c r="D18" s="134" t="s">
        <v>681</v>
      </c>
      <c r="E18" s="134"/>
      <c r="F18" s="134"/>
      <c r="G18" s="136">
        <v>87826</v>
      </c>
      <c r="J18" s="11" t="s">
        <v>222</v>
      </c>
    </row>
    <row r="19" spans="2:10" ht="24" customHeight="1" thickBot="1" x14ac:dyDescent="0.5">
      <c r="B19" s="133" t="s">
        <v>773</v>
      </c>
      <c r="C19" s="133" t="s">
        <v>765</v>
      </c>
      <c r="D19" s="135" t="s">
        <v>681</v>
      </c>
      <c r="E19" s="135"/>
      <c r="F19" s="135" t="s">
        <v>774</v>
      </c>
      <c r="G19" s="137">
        <v>55623</v>
      </c>
      <c r="J19" s="11">
        <f t="shared" ref="J19" si="5">G19</f>
        <v>55623</v>
      </c>
    </row>
    <row r="21" spans="2:10" x14ac:dyDescent="0.45">
      <c r="G21" s="11">
        <f>SUM(G7:G19)</f>
        <v>39561152</v>
      </c>
      <c r="J21" s="11">
        <f>SUM(J7:J19)</f>
        <v>37900900</v>
      </c>
    </row>
  </sheetData>
  <mergeCells count="7">
    <mergeCell ref="B17:B18"/>
    <mergeCell ref="B5:B6"/>
    <mergeCell ref="B7:B8"/>
    <mergeCell ref="B9:B10"/>
    <mergeCell ref="B11:B12"/>
    <mergeCell ref="B13:B14"/>
    <mergeCell ref="B15:B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0900-1FEC-402F-BCB2-07C7BD4F7B5C}">
  <dimension ref="A1:J13"/>
  <sheetViews>
    <sheetView workbookViewId="0">
      <selection activeCell="E13" sqref="E13"/>
    </sheetView>
  </sheetViews>
  <sheetFormatPr defaultColWidth="8.86328125" defaultRowHeight="14.25" x14ac:dyDescent="0.45"/>
  <cols>
    <col min="1" max="1" width="58.53125" customWidth="1"/>
  </cols>
  <sheetData>
    <row r="1" spans="1:10" x14ac:dyDescent="0.45">
      <c r="A1" s="437" t="s">
        <v>19</v>
      </c>
      <c r="B1" s="437"/>
      <c r="C1" s="437"/>
      <c r="D1" s="437"/>
      <c r="E1" s="437"/>
      <c r="F1" s="437"/>
      <c r="G1" s="437"/>
      <c r="H1" s="437"/>
      <c r="I1" s="437"/>
    </row>
    <row r="2" spans="1:10" x14ac:dyDescent="0.45">
      <c r="A2" s="436" t="s">
        <v>20</v>
      </c>
      <c r="B2" s="436"/>
      <c r="C2" s="436"/>
      <c r="D2" s="436"/>
      <c r="E2" s="436"/>
      <c r="F2" s="436"/>
      <c r="G2" s="436"/>
      <c r="H2" s="436"/>
      <c r="I2" s="436"/>
    </row>
    <row r="3" spans="1:10" x14ac:dyDescent="0.45">
      <c r="A3" s="436" t="s">
        <v>21</v>
      </c>
      <c r="B3" s="436"/>
      <c r="C3" s="436"/>
      <c r="D3" s="436"/>
      <c r="E3" s="436"/>
      <c r="F3" s="436"/>
      <c r="G3" s="436"/>
      <c r="H3" s="436"/>
      <c r="I3" s="436"/>
    </row>
    <row r="4" spans="1:10" x14ac:dyDescent="0.45">
      <c r="A4" s="436" t="s">
        <v>22</v>
      </c>
      <c r="B4" s="436" t="s">
        <v>23</v>
      </c>
      <c r="C4" s="436"/>
      <c r="D4" s="436"/>
      <c r="E4" s="436"/>
      <c r="F4" s="436"/>
      <c r="G4" s="436"/>
      <c r="H4" s="436"/>
      <c r="I4" s="436"/>
    </row>
    <row r="5" spans="1:10" x14ac:dyDescent="0.45">
      <c r="A5" s="436"/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</row>
    <row r="6" spans="1:10" x14ac:dyDescent="0.45">
      <c r="A6" s="9" t="s">
        <v>707</v>
      </c>
      <c r="B6" s="10">
        <v>3306947</v>
      </c>
      <c r="C6" s="10">
        <v>3456567</v>
      </c>
      <c r="D6" s="10">
        <v>3301658</v>
      </c>
      <c r="E6" s="10">
        <v>4914875</v>
      </c>
      <c r="F6" s="10">
        <v>7875916</v>
      </c>
      <c r="G6" s="10">
        <v>6348686</v>
      </c>
      <c r="H6" s="10">
        <v>7686111</v>
      </c>
      <c r="I6" s="10">
        <v>11661340</v>
      </c>
    </row>
    <row r="7" spans="1:10" x14ac:dyDescent="0.45">
      <c r="A7" s="9" t="s">
        <v>708</v>
      </c>
      <c r="B7" s="10" t="s">
        <v>709</v>
      </c>
      <c r="C7" s="10" t="s">
        <v>709</v>
      </c>
      <c r="D7" s="10" t="s">
        <v>709</v>
      </c>
      <c r="E7" s="10">
        <v>323037</v>
      </c>
      <c r="F7" s="10">
        <v>420980</v>
      </c>
      <c r="G7" s="10">
        <v>230345</v>
      </c>
      <c r="H7" s="10">
        <v>225229</v>
      </c>
      <c r="I7" s="10">
        <v>350645</v>
      </c>
    </row>
    <row r="8" spans="1:10" x14ac:dyDescent="0.45">
      <c r="A8" s="9" t="s">
        <v>710</v>
      </c>
      <c r="B8" s="10">
        <v>20072455</v>
      </c>
      <c r="C8" s="10">
        <v>23519307</v>
      </c>
      <c r="D8" s="10">
        <v>21397744</v>
      </c>
      <c r="E8" s="10">
        <v>23031228</v>
      </c>
      <c r="F8" s="10">
        <v>25449993</v>
      </c>
      <c r="G8" s="10">
        <v>27696548</v>
      </c>
      <c r="H8" s="10">
        <v>35334549</v>
      </c>
      <c r="I8" s="10">
        <v>45807118</v>
      </c>
    </row>
    <row r="9" spans="1:10" x14ac:dyDescent="0.45">
      <c r="A9" s="9" t="s">
        <v>711</v>
      </c>
      <c r="B9" s="10">
        <v>2600131</v>
      </c>
      <c r="C9" s="10">
        <v>3108843</v>
      </c>
      <c r="D9" s="10">
        <v>1758142</v>
      </c>
      <c r="E9" s="10">
        <v>2694592</v>
      </c>
      <c r="F9" s="10">
        <v>5009083</v>
      </c>
      <c r="G9" s="10">
        <v>2145963</v>
      </c>
      <c r="H9" s="10">
        <v>5139554</v>
      </c>
      <c r="I9" s="10">
        <v>3370138</v>
      </c>
    </row>
    <row r="10" spans="1:10" x14ac:dyDescent="0.45">
      <c r="A10" s="436" t="s">
        <v>36</v>
      </c>
      <c r="B10" s="436"/>
      <c r="C10" s="436"/>
      <c r="D10" s="436"/>
      <c r="E10" s="436"/>
      <c r="F10" s="436"/>
      <c r="G10" s="436"/>
      <c r="H10" s="436"/>
      <c r="I10" s="436"/>
    </row>
    <row r="11" spans="1:10" x14ac:dyDescent="0.45">
      <c r="A11" s="147" t="s">
        <v>221</v>
      </c>
      <c r="B11" s="14">
        <f>B9/B8</f>
        <v>0.12953726885924019</v>
      </c>
      <c r="C11" s="14">
        <f t="shared" ref="C11:I11" si="0">C9/C8</f>
        <v>0.13218259364529747</v>
      </c>
      <c r="D11" s="14">
        <f t="shared" si="0"/>
        <v>8.2164830086760551E-2</v>
      </c>
      <c r="E11" s="14">
        <f t="shared" si="0"/>
        <v>0.11699732207071199</v>
      </c>
      <c r="F11" s="14">
        <f t="shared" si="0"/>
        <v>0.19682060423356501</v>
      </c>
      <c r="G11" s="14">
        <f t="shared" si="0"/>
        <v>7.7481244233035831E-2</v>
      </c>
      <c r="H11" s="14">
        <f t="shared" si="0"/>
        <v>0.1454540710283298</v>
      </c>
      <c r="I11" s="14">
        <f t="shared" si="0"/>
        <v>7.3572364888793054E-2</v>
      </c>
      <c r="J11" s="146">
        <f>AVERAGE(B11:I11)</f>
        <v>0.11927628738071673</v>
      </c>
    </row>
    <row r="13" spans="1:10" x14ac:dyDescent="0.45">
      <c r="A13" t="s">
        <v>740</v>
      </c>
      <c r="B13" s="14"/>
      <c r="C13" s="14"/>
      <c r="D13" s="14"/>
      <c r="E13" s="14">
        <f t="shared" ref="E13:I13" si="1">E7/E6</f>
        <v>6.5726391820748242E-2</v>
      </c>
      <c r="F13" s="14">
        <f t="shared" si="1"/>
        <v>5.3451560428018782E-2</v>
      </c>
      <c r="G13" s="14">
        <f t="shared" si="1"/>
        <v>3.6282311016799379E-2</v>
      </c>
      <c r="H13" s="14">
        <f t="shared" si="1"/>
        <v>2.930337592054031E-2</v>
      </c>
      <c r="I13" s="14">
        <f t="shared" si="1"/>
        <v>3.0069014367131049E-2</v>
      </c>
      <c r="J13" s="146">
        <f>AVERAGE(B13:I13)</f>
        <v>4.2966530710647551E-2</v>
      </c>
    </row>
  </sheetData>
  <mergeCells count="6">
    <mergeCell ref="A10:I10"/>
    <mergeCell ref="A1:I1"/>
    <mergeCell ref="A2:I2"/>
    <mergeCell ref="A3:I3"/>
    <mergeCell ref="A4:A5"/>
    <mergeCell ref="B4:I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501D-67C6-4B20-8634-AA8591B562D8}">
  <sheetPr>
    <tabColor theme="9" tint="0.79998168889431442"/>
  </sheetPr>
  <dimension ref="A2:C21"/>
  <sheetViews>
    <sheetView showGridLines="0" workbookViewId="0">
      <selection sqref="A1:XFD1048576"/>
    </sheetView>
  </sheetViews>
  <sheetFormatPr defaultRowHeight="14.25" x14ac:dyDescent="0.45"/>
  <cols>
    <col min="1" max="1" width="41.1328125" customWidth="1"/>
    <col min="2" max="2" width="35.6640625" customWidth="1"/>
    <col min="3" max="3" width="13.33203125" customWidth="1"/>
  </cols>
  <sheetData>
    <row r="2" spans="1:3" x14ac:dyDescent="0.45">
      <c r="A2" s="148" t="s">
        <v>17</v>
      </c>
      <c r="B2" s="148" t="s">
        <v>716</v>
      </c>
      <c r="C2" s="148" t="s">
        <v>738</v>
      </c>
    </row>
    <row r="3" spans="1:3" x14ac:dyDescent="0.45">
      <c r="A3" s="149" t="s">
        <v>712</v>
      </c>
      <c r="B3" s="150" t="s">
        <v>713</v>
      </c>
      <c r="C3" s="150" t="s">
        <v>714</v>
      </c>
    </row>
    <row r="4" spans="1:3" x14ac:dyDescent="0.45">
      <c r="A4" s="149" t="s">
        <v>208</v>
      </c>
      <c r="B4" s="150" t="s">
        <v>715</v>
      </c>
      <c r="C4" s="150" t="s">
        <v>717</v>
      </c>
    </row>
    <row r="5" spans="1:3" x14ac:dyDescent="0.45">
      <c r="A5" s="149" t="s">
        <v>37</v>
      </c>
      <c r="B5" s="150" t="s">
        <v>87</v>
      </c>
      <c r="C5" s="150" t="s">
        <v>718</v>
      </c>
    </row>
    <row r="6" spans="1:3" x14ac:dyDescent="0.45">
      <c r="A6" s="149" t="s">
        <v>209</v>
      </c>
      <c r="B6" s="150" t="s">
        <v>720</v>
      </c>
      <c r="C6" s="150" t="s">
        <v>719</v>
      </c>
    </row>
    <row r="7" spans="1:3" x14ac:dyDescent="0.45">
      <c r="A7" s="149" t="s">
        <v>210</v>
      </c>
      <c r="B7" s="150" t="s">
        <v>720</v>
      </c>
      <c r="C7" s="150" t="s">
        <v>721</v>
      </c>
    </row>
    <row r="8" spans="1:3" x14ac:dyDescent="0.45">
      <c r="A8" s="149" t="s">
        <v>198</v>
      </c>
      <c r="B8" s="150" t="s">
        <v>722</v>
      </c>
      <c r="C8" s="150" t="s">
        <v>723</v>
      </c>
    </row>
    <row r="9" spans="1:3" x14ac:dyDescent="0.45">
      <c r="A9" s="149" t="s">
        <v>223</v>
      </c>
      <c r="B9" s="150" t="s">
        <v>249</v>
      </c>
      <c r="C9" s="150" t="s">
        <v>724</v>
      </c>
    </row>
    <row r="10" spans="1:3" x14ac:dyDescent="0.45">
      <c r="A10" s="149" t="s">
        <v>725</v>
      </c>
      <c r="B10" s="150" t="s">
        <v>726</v>
      </c>
      <c r="C10" s="151"/>
    </row>
    <row r="11" spans="1:3" x14ac:dyDescent="0.45">
      <c r="A11" s="149" t="s">
        <v>211</v>
      </c>
      <c r="B11" s="150" t="s">
        <v>257</v>
      </c>
      <c r="C11" s="150" t="s">
        <v>727</v>
      </c>
    </row>
    <row r="12" spans="1:3" x14ac:dyDescent="0.45">
      <c r="A12" s="149" t="s">
        <v>212</v>
      </c>
      <c r="B12" s="150" t="s">
        <v>722</v>
      </c>
      <c r="C12" s="150" t="s">
        <v>728</v>
      </c>
    </row>
    <row r="13" spans="1:3" x14ac:dyDescent="0.45">
      <c r="A13" s="149" t="s">
        <v>213</v>
      </c>
      <c r="B13" s="150" t="s">
        <v>42</v>
      </c>
      <c r="C13" s="150" t="s">
        <v>729</v>
      </c>
    </row>
    <row r="14" spans="1:3" x14ac:dyDescent="0.45">
      <c r="A14" s="156" t="s">
        <v>214</v>
      </c>
      <c r="B14" s="157"/>
      <c r="C14" s="157" t="s">
        <v>35</v>
      </c>
    </row>
    <row r="15" spans="1:3" x14ac:dyDescent="0.45">
      <c r="A15" s="156" t="s">
        <v>737</v>
      </c>
      <c r="B15" s="157"/>
      <c r="C15" s="158" t="s">
        <v>35</v>
      </c>
    </row>
    <row r="16" spans="1:3" x14ac:dyDescent="0.45">
      <c r="A16" s="149" t="s">
        <v>677</v>
      </c>
      <c r="B16" s="150" t="s">
        <v>739</v>
      </c>
      <c r="C16" s="150" t="s">
        <v>730</v>
      </c>
    </row>
    <row r="17" spans="1:3" x14ac:dyDescent="0.45">
      <c r="A17" s="152" t="s">
        <v>220</v>
      </c>
      <c r="B17" s="150" t="s">
        <v>736</v>
      </c>
      <c r="C17" s="150" t="s">
        <v>735</v>
      </c>
    </row>
    <row r="18" spans="1:3" x14ac:dyDescent="0.45">
      <c r="A18" s="149" t="s">
        <v>215</v>
      </c>
      <c r="B18" s="150" t="s">
        <v>191</v>
      </c>
      <c r="C18" s="150" t="s">
        <v>734</v>
      </c>
    </row>
    <row r="19" spans="1:3" x14ac:dyDescent="0.45">
      <c r="A19" s="149" t="s">
        <v>216</v>
      </c>
      <c r="B19" s="150" t="s">
        <v>713</v>
      </c>
      <c r="C19" s="153" t="s">
        <v>731</v>
      </c>
    </row>
    <row r="20" spans="1:3" x14ac:dyDescent="0.45">
      <c r="A20" s="149" t="s">
        <v>217</v>
      </c>
      <c r="B20" s="150" t="s">
        <v>713</v>
      </c>
      <c r="C20" s="150" t="s">
        <v>733</v>
      </c>
    </row>
    <row r="21" spans="1:3" x14ac:dyDescent="0.45">
      <c r="A21" s="154" t="s">
        <v>218</v>
      </c>
      <c r="B21" s="155" t="s">
        <v>713</v>
      </c>
      <c r="C21" s="155" t="s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3ED6-8455-4937-A62C-A303E63A4129}">
  <dimension ref="B1:M23"/>
  <sheetViews>
    <sheetView topLeftCell="B1" workbookViewId="0">
      <selection activeCell="D380" sqref="D380"/>
    </sheetView>
  </sheetViews>
  <sheetFormatPr defaultRowHeight="14.25" x14ac:dyDescent="0.45"/>
  <cols>
    <col min="1" max="1" width="4.86328125" customWidth="1"/>
    <col min="2" max="2" width="33" customWidth="1"/>
    <col min="3" max="3" width="12.53125" bestFit="1" customWidth="1"/>
    <col min="4" max="12" width="16.53125" customWidth="1"/>
  </cols>
  <sheetData>
    <row r="1" spans="2:13" ht="14.65" thickBot="1" x14ac:dyDescent="0.5"/>
    <row r="2" spans="2:13" ht="14.65" thickBot="1" x14ac:dyDescent="0.5">
      <c r="B2" s="132" t="s">
        <v>679</v>
      </c>
      <c r="C2" s="132" t="s">
        <v>131</v>
      </c>
      <c r="D2" s="132">
        <v>2015</v>
      </c>
      <c r="E2" s="132">
        <v>2016</v>
      </c>
      <c r="F2" s="132">
        <v>2017</v>
      </c>
      <c r="G2" s="132">
        <v>2018</v>
      </c>
      <c r="H2" s="132">
        <v>2019</v>
      </c>
      <c r="I2" s="132">
        <v>2020</v>
      </c>
      <c r="J2" s="132">
        <v>2021</v>
      </c>
      <c r="K2" s="132">
        <v>2022</v>
      </c>
      <c r="L2" s="132">
        <v>2023</v>
      </c>
    </row>
    <row r="3" spans="2:13" ht="68.45" customHeight="1" thickBot="1" x14ac:dyDescent="0.5">
      <c r="B3" s="133" t="s">
        <v>680</v>
      </c>
      <c r="C3" s="134" t="s">
        <v>681</v>
      </c>
      <c r="D3" s="136">
        <v>332002970184.78497</v>
      </c>
      <c r="E3" s="136">
        <v>337299671546.08099</v>
      </c>
      <c r="F3" s="136">
        <v>331505568328.95001</v>
      </c>
      <c r="G3" s="136">
        <v>339687281336.71899</v>
      </c>
      <c r="H3" s="136">
        <v>338112031388.15802</v>
      </c>
      <c r="I3" s="136">
        <v>219798798015.66699</v>
      </c>
      <c r="J3" s="136">
        <v>227342198938.15201</v>
      </c>
      <c r="K3" s="136">
        <v>255394612265.957</v>
      </c>
      <c r="L3" s="136">
        <v>224330239770.93799</v>
      </c>
    </row>
    <row r="4" spans="2:13" ht="68.45" customHeight="1" thickBot="1" x14ac:dyDescent="0.5">
      <c r="B4" s="133" t="s">
        <v>682</v>
      </c>
      <c r="C4" s="135" t="s">
        <v>681</v>
      </c>
      <c r="D4" s="137">
        <v>127144470937.953</v>
      </c>
      <c r="E4" s="137">
        <v>128215968608.103</v>
      </c>
      <c r="F4" s="137">
        <v>117798255043.117</v>
      </c>
      <c r="G4" s="137">
        <v>111913451393.42599</v>
      </c>
      <c r="H4" s="137">
        <v>112641231760.246</v>
      </c>
      <c r="I4" s="137">
        <v>77124748595.205002</v>
      </c>
      <c r="J4" s="137">
        <v>79565436234.509995</v>
      </c>
      <c r="K4" s="137">
        <v>80746174966.384003</v>
      </c>
      <c r="L4" s="137">
        <v>57745729579.556</v>
      </c>
    </row>
    <row r="5" spans="2:13" ht="68.45" customHeight="1" thickBot="1" x14ac:dyDescent="0.5">
      <c r="B5" s="133" t="s">
        <v>683</v>
      </c>
      <c r="C5" s="134" t="s">
        <v>681</v>
      </c>
      <c r="D5" s="136">
        <v>5047398061.2150002</v>
      </c>
      <c r="E5" s="136">
        <v>4013776190.277</v>
      </c>
      <c r="F5" s="136">
        <v>3435610011.256</v>
      </c>
      <c r="G5" s="136">
        <v>4823321931.375</v>
      </c>
      <c r="H5" s="136">
        <v>2432925501.105</v>
      </c>
      <c r="I5" s="136">
        <v>2012765284.572</v>
      </c>
      <c r="J5" s="136">
        <v>1947434661.105</v>
      </c>
      <c r="K5" s="136">
        <v>1543362939.734</v>
      </c>
      <c r="L5" s="136">
        <v>1796073491.9920001</v>
      </c>
    </row>
    <row r="6" spans="2:13" x14ac:dyDescent="0.45">
      <c r="D6" s="131">
        <f t="shared" ref="D6:H6" si="0">D5/D3</f>
        <v>1.5202870198437496E-2</v>
      </c>
      <c r="E6" s="131">
        <f t="shared" si="0"/>
        <v>1.1899733468102854E-2</v>
      </c>
      <c r="F6" s="131">
        <f t="shared" si="0"/>
        <v>1.0363657022638228E-2</v>
      </c>
      <c r="G6" s="131">
        <f t="shared" si="0"/>
        <v>1.4199300934655323E-2</v>
      </c>
      <c r="H6" s="131">
        <f t="shared" si="0"/>
        <v>7.195619425657062E-3</v>
      </c>
      <c r="I6" s="131">
        <f>I5/I3</f>
        <v>9.1573079686656546E-3</v>
      </c>
      <c r="J6" s="131">
        <f t="shared" ref="J6:L6" si="1">J5/J3</f>
        <v>8.5660940652500499E-3</v>
      </c>
      <c r="K6" s="131">
        <f t="shared" si="1"/>
        <v>6.04305206770301E-3</v>
      </c>
      <c r="L6" s="131">
        <f t="shared" si="1"/>
        <v>8.006381546357539E-3</v>
      </c>
      <c r="M6" s="308">
        <f>AVERAGE(D6:L6)</f>
        <v>1.007044629971858E-2</v>
      </c>
    </row>
    <row r="7" spans="2:13" x14ac:dyDescent="0.45">
      <c r="C7" s="12">
        <v>13060717</v>
      </c>
      <c r="D7" s="12">
        <v>13200568</v>
      </c>
      <c r="E7" s="12">
        <v>10889432</v>
      </c>
      <c r="F7" s="12">
        <v>11219391</v>
      </c>
      <c r="G7" s="12">
        <v>13124446</v>
      </c>
      <c r="H7" s="12">
        <v>10123527</v>
      </c>
      <c r="I7" s="11">
        <v>11116357</v>
      </c>
    </row>
    <row r="8" spans="2:13" x14ac:dyDescent="0.45">
      <c r="B8" t="s">
        <v>32</v>
      </c>
      <c r="C8" s="12">
        <v>12829615</v>
      </c>
      <c r="D8" s="12">
        <v>13330705</v>
      </c>
      <c r="E8" s="12">
        <v>10972220</v>
      </c>
      <c r="F8" s="12">
        <v>11321558</v>
      </c>
      <c r="G8" s="12">
        <v>13012219</v>
      </c>
      <c r="H8" s="12">
        <v>10327450</v>
      </c>
      <c r="I8" s="12">
        <v>11407612</v>
      </c>
    </row>
    <row r="9" spans="2:13" x14ac:dyDescent="0.45">
      <c r="B9" t="s">
        <v>684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>
        <v>9290571</v>
      </c>
      <c r="I9">
        <v>9765534</v>
      </c>
      <c r="K9" s="11">
        <f>J3/0.29/1000</f>
        <v>783938617.0281105</v>
      </c>
    </row>
    <row r="10" spans="2:13" x14ac:dyDescent="0.45">
      <c r="B10" t="s">
        <v>685</v>
      </c>
      <c r="C10" t="s">
        <v>34</v>
      </c>
      <c r="D10" t="s">
        <v>34</v>
      </c>
      <c r="E10" t="s">
        <v>34</v>
      </c>
      <c r="F10">
        <v>282924</v>
      </c>
      <c r="G10" t="s">
        <v>34</v>
      </c>
      <c r="H10" t="s">
        <v>34</v>
      </c>
      <c r="I10" t="s">
        <v>34</v>
      </c>
    </row>
    <row r="11" spans="2:13" x14ac:dyDescent="0.45">
      <c r="B11" t="s">
        <v>686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2:13" x14ac:dyDescent="0.45">
      <c r="B12" t="s">
        <v>687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</row>
    <row r="13" spans="2:13" x14ac:dyDescent="0.45">
      <c r="B13" t="s">
        <v>688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2:13" x14ac:dyDescent="0.45">
      <c r="B14" t="s">
        <v>689</v>
      </c>
      <c r="C14" t="s">
        <v>35</v>
      </c>
      <c r="D14" t="s">
        <v>35</v>
      </c>
      <c r="E14" t="s">
        <v>34</v>
      </c>
      <c r="F14" t="s">
        <v>35</v>
      </c>
      <c r="G14" t="s">
        <v>34</v>
      </c>
      <c r="H14" t="s">
        <v>34</v>
      </c>
      <c r="I14" t="s">
        <v>34</v>
      </c>
    </row>
    <row r="15" spans="2:13" x14ac:dyDescent="0.45">
      <c r="B15" t="s">
        <v>33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>
        <v>168555</v>
      </c>
      <c r="I15" t="s">
        <v>34</v>
      </c>
    </row>
    <row r="16" spans="2:13" x14ac:dyDescent="0.45">
      <c r="B16" s="441" t="s">
        <v>36</v>
      </c>
      <c r="C16" s="441"/>
      <c r="D16" s="441"/>
      <c r="E16" s="441"/>
      <c r="F16" s="441"/>
      <c r="G16" s="441"/>
      <c r="H16" s="441"/>
      <c r="I16" s="441"/>
    </row>
    <row r="19" spans="2:9" x14ac:dyDescent="0.45">
      <c r="B19" s="9" t="s">
        <v>260</v>
      </c>
      <c r="D19" s="10" t="s">
        <v>34</v>
      </c>
      <c r="E19" s="10" t="s">
        <v>34</v>
      </c>
      <c r="F19" s="10">
        <v>3191397</v>
      </c>
      <c r="G19" s="10">
        <v>5107609</v>
      </c>
      <c r="H19" s="10">
        <v>1104004</v>
      </c>
      <c r="I19" s="138">
        <v>3464949</v>
      </c>
    </row>
    <row r="20" spans="2:9" x14ac:dyDescent="0.45">
      <c r="B20" s="9" t="s">
        <v>261</v>
      </c>
      <c r="D20" s="10" t="s">
        <v>34</v>
      </c>
      <c r="E20" s="10" t="s">
        <v>34</v>
      </c>
      <c r="F20" s="10">
        <v>2671649</v>
      </c>
      <c r="G20" s="10">
        <v>4470758</v>
      </c>
      <c r="H20" s="10">
        <v>673637</v>
      </c>
      <c r="I20" s="10">
        <v>3036690</v>
      </c>
    </row>
    <row r="21" spans="2:9" x14ac:dyDescent="0.45">
      <c r="B21" s="9" t="s">
        <v>262</v>
      </c>
      <c r="D21" s="10">
        <v>380601</v>
      </c>
      <c r="E21" s="10">
        <v>582458</v>
      </c>
      <c r="F21" s="10">
        <v>519748</v>
      </c>
      <c r="G21" s="10">
        <v>636851</v>
      </c>
      <c r="H21" s="10">
        <v>430367</v>
      </c>
      <c r="I21" s="10">
        <v>428259</v>
      </c>
    </row>
    <row r="22" spans="2:9" x14ac:dyDescent="0.45">
      <c r="B22" s="9" t="s">
        <v>637</v>
      </c>
      <c r="D22" s="10" t="s">
        <v>34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34</v>
      </c>
    </row>
    <row r="23" spans="2:9" x14ac:dyDescent="0.45">
      <c r="B23" s="9" t="s">
        <v>638</v>
      </c>
      <c r="D23" s="10" t="s">
        <v>34</v>
      </c>
      <c r="E23" s="10" t="s">
        <v>34</v>
      </c>
      <c r="F23" s="10" t="s">
        <v>34</v>
      </c>
      <c r="G23" s="10" t="s">
        <v>34</v>
      </c>
      <c r="H23" s="10" t="s">
        <v>34</v>
      </c>
      <c r="I23" s="10" t="s">
        <v>34</v>
      </c>
    </row>
  </sheetData>
  <mergeCells count="1">
    <mergeCell ref="B16:I1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6FCC-5AAC-4B10-95C1-5BBE77FA697D}">
  <dimension ref="A1:J14"/>
  <sheetViews>
    <sheetView workbookViewId="0">
      <selection activeCell="J14" sqref="J14"/>
    </sheetView>
  </sheetViews>
  <sheetFormatPr defaultColWidth="8.86328125" defaultRowHeight="14.25" x14ac:dyDescent="0.45"/>
  <cols>
    <col min="1" max="1" width="70.1328125" customWidth="1"/>
    <col min="2" max="2" width="16.1328125" customWidth="1"/>
    <col min="3" max="3" width="15.86328125" customWidth="1"/>
  </cols>
  <sheetData>
    <row r="1" spans="1:10" x14ac:dyDescent="0.45">
      <c r="A1" s="437" t="s">
        <v>19</v>
      </c>
      <c r="B1" s="437"/>
      <c r="C1" s="437"/>
      <c r="D1" s="437"/>
      <c r="E1" s="437"/>
      <c r="F1" s="437"/>
      <c r="G1" s="437"/>
      <c r="H1" s="437"/>
      <c r="I1" s="437"/>
    </row>
    <row r="2" spans="1:10" x14ac:dyDescent="0.45">
      <c r="A2" s="436" t="s">
        <v>20</v>
      </c>
      <c r="B2" s="436"/>
      <c r="C2" s="436"/>
      <c r="D2" s="436"/>
      <c r="E2" s="436"/>
      <c r="F2" s="436"/>
      <c r="G2" s="436"/>
      <c r="H2" s="436"/>
      <c r="I2" s="436"/>
    </row>
    <row r="3" spans="1:10" x14ac:dyDescent="0.45">
      <c r="A3" s="436" t="s">
        <v>21</v>
      </c>
      <c r="B3" s="436"/>
      <c r="C3" s="436"/>
      <c r="D3" s="436"/>
      <c r="E3" s="436"/>
      <c r="F3" s="436"/>
      <c r="G3" s="436"/>
      <c r="H3" s="436"/>
      <c r="I3" s="436"/>
    </row>
    <row r="4" spans="1:10" x14ac:dyDescent="0.45">
      <c r="A4" s="436" t="s">
        <v>22</v>
      </c>
      <c r="B4" s="436" t="s">
        <v>23</v>
      </c>
      <c r="C4" s="436"/>
      <c r="D4" s="436"/>
      <c r="E4" s="436"/>
      <c r="F4" s="436"/>
      <c r="G4" s="436"/>
      <c r="H4" s="436"/>
      <c r="I4" s="436"/>
    </row>
    <row r="5" spans="1:10" x14ac:dyDescent="0.45">
      <c r="A5" s="436"/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</row>
    <row r="6" spans="1:10" x14ac:dyDescent="0.45">
      <c r="A6" s="9" t="s">
        <v>694</v>
      </c>
      <c r="B6" s="10">
        <v>4105984</v>
      </c>
      <c r="C6" s="10">
        <v>4336548</v>
      </c>
      <c r="D6" s="10">
        <v>3828284</v>
      </c>
      <c r="E6" s="10">
        <v>5446719</v>
      </c>
      <c r="F6" s="10">
        <v>7740992</v>
      </c>
      <c r="G6" s="10">
        <v>7864939</v>
      </c>
      <c r="H6" s="10">
        <v>8252759</v>
      </c>
      <c r="I6" s="10">
        <v>11066428</v>
      </c>
    </row>
    <row r="7" spans="1:10" x14ac:dyDescent="0.45">
      <c r="A7" s="9" t="s">
        <v>695</v>
      </c>
      <c r="B7" s="10" t="s">
        <v>34</v>
      </c>
      <c r="C7" s="10" t="s">
        <v>34</v>
      </c>
      <c r="D7" s="10" t="s">
        <v>34</v>
      </c>
      <c r="E7" s="10" t="s">
        <v>34</v>
      </c>
      <c r="F7" s="10" t="s">
        <v>35</v>
      </c>
      <c r="G7" s="10" t="s">
        <v>35</v>
      </c>
      <c r="H7" s="10" t="s">
        <v>35</v>
      </c>
      <c r="I7" s="10" t="s">
        <v>35</v>
      </c>
    </row>
    <row r="8" spans="1:10" x14ac:dyDescent="0.45">
      <c r="A8" s="9" t="s">
        <v>696</v>
      </c>
      <c r="B8" s="10" t="s">
        <v>34</v>
      </c>
      <c r="C8" s="10">
        <v>19637</v>
      </c>
      <c r="D8" s="10" t="s">
        <v>34</v>
      </c>
      <c r="E8" s="10">
        <v>862</v>
      </c>
      <c r="F8" s="10" t="s">
        <v>34</v>
      </c>
      <c r="G8" s="10" t="s">
        <v>34</v>
      </c>
      <c r="H8" s="10">
        <v>752</v>
      </c>
      <c r="I8" s="10">
        <v>338</v>
      </c>
    </row>
    <row r="9" spans="1:10" x14ac:dyDescent="0.45">
      <c r="A9" s="9" t="s">
        <v>697</v>
      </c>
      <c r="B9" s="10">
        <v>5348639</v>
      </c>
      <c r="C9" s="10">
        <v>5024582</v>
      </c>
      <c r="D9" s="10">
        <v>4849710</v>
      </c>
      <c r="E9" s="10">
        <v>4361144</v>
      </c>
      <c r="F9" s="10">
        <v>5055735</v>
      </c>
      <c r="G9" s="10">
        <v>5784737</v>
      </c>
      <c r="H9" s="10">
        <v>5946259</v>
      </c>
      <c r="I9" s="10">
        <v>7375789</v>
      </c>
    </row>
    <row r="10" spans="1:10" x14ac:dyDescent="0.45">
      <c r="A10" s="9" t="s">
        <v>698</v>
      </c>
      <c r="B10" s="10">
        <v>248648</v>
      </c>
      <c r="C10" s="10">
        <v>289408</v>
      </c>
      <c r="D10" s="10">
        <v>159303</v>
      </c>
      <c r="E10" s="10">
        <v>191149</v>
      </c>
      <c r="F10" s="10">
        <v>179299</v>
      </c>
      <c r="G10" s="10">
        <v>235308</v>
      </c>
      <c r="H10" s="10">
        <v>263957</v>
      </c>
      <c r="I10" s="10">
        <v>179264</v>
      </c>
    </row>
    <row r="11" spans="1:10" x14ac:dyDescent="0.45">
      <c r="A11" s="9" t="s">
        <v>699</v>
      </c>
      <c r="B11" s="10">
        <v>43750</v>
      </c>
      <c r="C11" s="10">
        <v>185821</v>
      </c>
      <c r="D11" s="10">
        <v>14442</v>
      </c>
      <c r="E11" s="10">
        <v>3431</v>
      </c>
      <c r="F11" s="10">
        <v>3891</v>
      </c>
      <c r="G11" s="10">
        <v>7231</v>
      </c>
      <c r="H11" s="10">
        <v>8354</v>
      </c>
      <c r="I11" s="10">
        <v>14516</v>
      </c>
    </row>
    <row r="12" spans="1:10" x14ac:dyDescent="0.45">
      <c r="A12" s="436" t="s">
        <v>36</v>
      </c>
      <c r="B12" s="436"/>
      <c r="C12" s="436"/>
      <c r="D12" s="436"/>
      <c r="E12" s="436"/>
      <c r="F12" s="436"/>
      <c r="G12" s="436"/>
      <c r="H12" s="436"/>
      <c r="I12" s="436"/>
    </row>
    <row r="13" spans="1:10" x14ac:dyDescent="0.45">
      <c r="B13">
        <f>B11+B10</f>
        <v>292398</v>
      </c>
      <c r="C13">
        <f t="shared" ref="C13:I13" si="0">C11+C10</f>
        <v>475229</v>
      </c>
      <c r="D13">
        <f t="shared" si="0"/>
        <v>173745</v>
      </c>
      <c r="E13">
        <f t="shared" si="0"/>
        <v>194580</v>
      </c>
      <c r="F13">
        <f t="shared" si="0"/>
        <v>183190</v>
      </c>
      <c r="G13">
        <f t="shared" si="0"/>
        <v>242539</v>
      </c>
      <c r="H13">
        <f t="shared" si="0"/>
        <v>272311</v>
      </c>
      <c r="I13">
        <f t="shared" si="0"/>
        <v>193780</v>
      </c>
    </row>
    <row r="14" spans="1:10" x14ac:dyDescent="0.45">
      <c r="B14" s="14">
        <f>B13/B9</f>
        <v>5.4667738839731007E-2</v>
      </c>
      <c r="C14" s="14">
        <f t="shared" ref="C14:I14" si="1">C13/C9</f>
        <v>9.4580802940423703E-2</v>
      </c>
      <c r="D14" s="14">
        <f t="shared" si="1"/>
        <v>3.5825853504642548E-2</v>
      </c>
      <c r="E14" s="14">
        <f t="shared" si="1"/>
        <v>4.4616733591002725E-2</v>
      </c>
      <c r="F14" s="14">
        <f t="shared" si="1"/>
        <v>3.623409850397618E-2</v>
      </c>
      <c r="G14" s="14">
        <f t="shared" si="1"/>
        <v>4.1927403095421624E-2</v>
      </c>
      <c r="H14" s="14">
        <f t="shared" si="1"/>
        <v>4.5795347965838687E-2</v>
      </c>
      <c r="I14" s="14">
        <f t="shared" si="1"/>
        <v>2.6272443531125959E-2</v>
      </c>
      <c r="J14" s="145">
        <f>AVERAGE(B14:I14)</f>
        <v>4.7490052746520302E-2</v>
      </c>
    </row>
  </sheetData>
  <mergeCells count="6">
    <mergeCell ref="A12:I12"/>
    <mergeCell ref="A1:I1"/>
    <mergeCell ref="A2:I2"/>
    <mergeCell ref="A3:I3"/>
    <mergeCell ref="A4:A5"/>
    <mergeCell ref="B4:I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38FBA1982504FB58352059ED7C1B4" ma:contentTypeVersion="4" ma:contentTypeDescription="Create a new document." ma:contentTypeScope="" ma:versionID="2822d7d2b3da5cc522c3cbc182271517">
  <xsd:schema xmlns:xsd="http://www.w3.org/2001/XMLSchema" xmlns:xs="http://www.w3.org/2001/XMLSchema" xmlns:p="http://schemas.microsoft.com/office/2006/metadata/properties" xmlns:ns2="8c7fed5c-6fc1-478f-944f-9e333e2f56b0" targetNamespace="http://schemas.microsoft.com/office/2006/metadata/properties" ma:root="true" ma:fieldsID="005c0de322ecad7c93047af3523e87ef" ns2:_="">
    <xsd:import namespace="8c7fed5c-6fc1-478f-944f-9e333e2f56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fed5c-6fc1-478f-944f-9e333e2f56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22B0D4-FBD0-44E4-BA10-8A8A7094C7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29D55A-8D4E-49AF-98EB-B3597416B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7fed5c-6fc1-478f-944f-9e333e2f56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13BFFA-09BC-4AF2-93E6-37629B34C64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98b07ef0-ba89-48e9-8ebc-9e66869ee95d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49</vt:i4>
      </vt:variant>
    </vt:vector>
  </HeadingPairs>
  <TitlesOfParts>
    <vt:vector size="49" baseType="lpstr">
      <vt:lpstr>Aux</vt:lpstr>
      <vt:lpstr>Introdução</vt:lpstr>
      <vt:lpstr>Etapa 1-&gt;</vt:lpstr>
      <vt:lpstr>Output_Etapa1</vt:lpstr>
      <vt:lpstr>Cenario A ranking setor PIB</vt:lpstr>
      <vt:lpstr>Cenario B benchmark va</vt:lpstr>
      <vt:lpstr>Food</vt:lpstr>
      <vt:lpstr>Chemical</vt:lpstr>
      <vt:lpstr>Basic metals</vt:lpstr>
      <vt:lpstr>Motor vehicles</vt:lpstr>
      <vt:lpstr>Machinery</vt:lpstr>
      <vt:lpstr>Eletrical</vt:lpstr>
      <vt:lpstr>Pharma</vt:lpstr>
      <vt:lpstr>Other transport</vt:lpstr>
      <vt:lpstr>Eletronic</vt:lpstr>
      <vt:lpstr>Etapa 2-&gt;</vt:lpstr>
      <vt:lpstr>Output_Etapa2</vt:lpstr>
      <vt:lpstr>1.1. Agricultura de precisão </vt:lpstr>
      <vt:lpstr>1.2. Máquinas agrícolas</vt:lpstr>
      <vt:lpstr>1.3. (Bio) Fertilizantes</vt:lpstr>
      <vt:lpstr>2.1. Princípio ativo</vt:lpstr>
      <vt:lpstr>2.2. Biofármacos e vacinas</vt:lpstr>
      <vt:lpstr>2.3.Eq médicos de imagem</vt:lpstr>
      <vt:lpstr>3.3. Metroferroviários</vt:lpstr>
      <vt:lpstr>4.1. Semicondutores</vt:lpstr>
      <vt:lpstr>4.2. Robos Industriais</vt:lpstr>
      <vt:lpstr>5.1.Biocombustíveis</vt:lpstr>
      <vt:lpstr>5.2.Descarb Siderurgia</vt:lpstr>
      <vt:lpstr>5.2.Descarb Alumínio</vt:lpstr>
      <vt:lpstr>5.3.Descarb Cimento</vt:lpstr>
      <vt:lpstr>5.3.Paineis solares</vt:lpstr>
      <vt:lpstr>5.3.Aerogeradores</vt:lpstr>
      <vt:lpstr>5.4.Hidrogênio Verde</vt:lpstr>
      <vt:lpstr>6.1. Satélite</vt:lpstr>
      <vt:lpstr>6.2. Radares</vt:lpstr>
      <vt:lpstr>Etapa 3-&gt;</vt:lpstr>
      <vt:lpstr>Multiplicadores</vt:lpstr>
      <vt:lpstr>MIP</vt:lpstr>
      <vt:lpstr>Dados -&gt;</vt:lpstr>
      <vt:lpstr>Dados IBGE - VPB</vt:lpstr>
      <vt:lpstr>Dados IBGE - CI</vt:lpstr>
      <vt:lpstr>Dados IBGE - VA</vt:lpstr>
      <vt:lpstr>Base de dados IHS</vt:lpstr>
      <vt:lpstr>Base GDP</vt:lpstr>
      <vt:lpstr>Proporção drones</vt:lpstr>
      <vt:lpstr>Proporção Eq energia verde</vt:lpstr>
      <vt:lpstr>Codigos Setores e nichos </vt:lpstr>
      <vt:lpstr>Proporção satelites</vt:lpstr>
      <vt:lpstr>proporção radares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Andrade</dc:creator>
  <cp:lastModifiedBy>Amilton Mendes</cp:lastModifiedBy>
  <dcterms:created xsi:type="dcterms:W3CDTF">2024-04-11T13:41:02Z</dcterms:created>
  <dcterms:modified xsi:type="dcterms:W3CDTF">2024-05-06T01:47:01Z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0x0101000C738FBA1982504FB58352059ED7C1B4</vt:lpwstr>
  </property>
</Properties>
</file>