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updateLinks="never" codeName="ThisWorkbook" defaultThemeVersion="166925"/>
  <mc:AlternateContent xmlns:mc="http://schemas.openxmlformats.org/markup-compatibility/2006">
    <mc:Choice Requires="x15">
      <x15ac:absPath xmlns:x15ac="http://schemas.microsoft.com/office/spreadsheetml/2010/11/ac" url="https://justiceuk.sharepoint.com/sites/RewardStrategy-MoJ/Shared Documents/Reward Analysis/Pay Award 2024-25 Analysis/Design/Pay Calculators/"/>
    </mc:Choice>
  </mc:AlternateContent>
  <xr:revisionPtr revIDLastSave="33" documentId="8_{CC02DA67-58CA-4143-8BCE-4E18D9ABF31A}" xr6:coauthVersionLast="47" xr6:coauthVersionMax="47" xr10:uidLastSave="{6E16E478-32E2-45EE-967D-BA81AB2A70C1}"/>
  <workbookProtection workbookAlgorithmName="SHA-512" workbookHashValue="iySo8jwovs9iQgrv10FJqnRBAX2MQISIHA5xS1h4CSDti/g0fsusE2fif+MPHAvUD2b0e1UNWzCMVxnD0fIx/A==" workbookSaltValue="ZLiohQILIyPKx053pB0Elg==" workbookSpinCount="100000" lockStructure="1"/>
  <bookViews>
    <workbookView xWindow="20235" yWindow="1380" windowWidth="19470" windowHeight="15750" tabRatio="660" xr2:uid="{5E5F8C4D-9168-4229-897B-6FFA0160580F}"/>
  </bookViews>
  <sheets>
    <sheet name="Guidance" sheetId="19" r:id="rId1"/>
    <sheet name="Pay Calculator" sheetId="20" r:id="rId2"/>
    <sheet name="Calculations" sheetId="25" state="veryHidden" r:id="rId3"/>
    <sheet name="Pay Ranges" sheetId="4" state="veryHidden" r:id="rId4"/>
    <sheet name="Constants" sheetId="6" state="veryHidden" r:id="rId5"/>
  </sheets>
  <definedNames>
    <definedName name="_xlnm._FilterDatabase" localSheetId="3" hidden="1">'Pay Ranges'!$A$1:$I$37</definedName>
    <definedName name="old_payrange_max">'Pay Calculator'!$B$15</definedName>
    <definedName name="salary">#REF!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2" i="25" l="1"/>
  <c r="O32" i="25"/>
  <c r="AF32" i="25" s="1"/>
  <c r="N32" i="25"/>
  <c r="M32" i="25"/>
  <c r="S32" i="25" s="1"/>
  <c r="AD32" i="25" l="1"/>
  <c r="AO32" i="25" s="1"/>
  <c r="Q32" i="25"/>
  <c r="T32" i="25"/>
  <c r="R32" i="25"/>
  <c r="U32" i="25"/>
  <c r="Y32" i="25" l="1"/>
  <c r="D10" i="20"/>
  <c r="F31" i="20" s="1"/>
  <c r="D24" i="20"/>
  <c r="D25" i="20"/>
  <c r="AN32" i="25"/>
  <c r="C14" i="20"/>
  <c r="AE32" i="25"/>
  <c r="AM32" i="25"/>
  <c r="AK32" i="25"/>
  <c r="AH32" i="25"/>
  <c r="AL32" i="25"/>
  <c r="AG32" i="25"/>
  <c r="AI32" i="25"/>
  <c r="AJ32" i="25"/>
  <c r="AP32" i="25" l="1"/>
  <c r="AR32" i="25" s="1"/>
  <c r="A6" i="6"/>
  <c r="D31" i="20"/>
  <c r="AZ32" i="25"/>
  <c r="A7" i="6"/>
  <c r="AS32" i="25"/>
  <c r="BI32" i="25"/>
  <c r="F32" i="20" l="1"/>
  <c r="AQ32" i="25"/>
  <c r="D32" i="20"/>
  <c r="F8" i="20"/>
  <c r="F33" i="20"/>
  <c r="BL32" i="25"/>
  <c r="BM32" i="25" s="1"/>
  <c r="AT32" i="25"/>
  <c r="AU32" i="25" s="1"/>
  <c r="D33" i="20"/>
  <c r="AW32" i="25" l="1"/>
  <c r="BA32" i="25" s="1"/>
  <c r="BN32" i="25"/>
  <c r="AX32" i="25" l="1"/>
  <c r="AY32" i="25" s="1"/>
  <c r="BJ32" i="25"/>
  <c r="BG32" i="25"/>
  <c r="BB32" i="25"/>
  <c r="BP32" i="25"/>
  <c r="F18" i="20" s="1"/>
  <c r="D18" i="20" l="1"/>
  <c r="C27" i="20" s="1"/>
  <c r="BE32" i="25"/>
  <c r="BQ32" i="25"/>
  <c r="BT32" i="25"/>
  <c r="BZ32" i="25"/>
  <c r="BH32" i="25"/>
  <c r="BU32" i="25" l="1"/>
  <c r="D19" i="20"/>
  <c r="F19" i="20"/>
  <c r="BR32" i="25"/>
  <c r="CB32" i="25"/>
  <c r="F20" i="20" l="1"/>
  <c r="F21" i="20" s="1"/>
  <c r="BX32" i="25"/>
  <c r="D20" i="20"/>
  <c r="D21" i="20" s="1"/>
  <c r="BS32" i="25"/>
  <c r="BF32" i="25"/>
  <c r="F22" i="20" l="1"/>
  <c r="D22" i="20"/>
  <c r="CA32" i="25"/>
  <c r="BY32" i="25" l="1"/>
</calcChain>
</file>

<file path=xl/sharedStrings.xml><?xml version="1.0" encoding="utf-8"?>
<sst xmlns="http://schemas.openxmlformats.org/spreadsheetml/2006/main" count="330" uniqueCount="158">
  <si>
    <t>Pay Calculator for 2024/25 Pay Offer</t>
  </si>
  <si>
    <t xml:space="preserve">Please ensure that you input your details correctly, as any errors could result in an incorrect pay offer value being calculated.  </t>
  </si>
  <si>
    <t>Please enter your pay details:</t>
  </si>
  <si>
    <r>
      <t xml:space="preserve">My current </t>
    </r>
    <r>
      <rPr>
        <b/>
        <sz val="11"/>
        <color theme="1"/>
        <rFont val="Calibri"/>
        <family val="2"/>
        <scheme val="minor"/>
      </rPr>
      <t>part time base salary</t>
    </r>
    <r>
      <rPr>
        <sz val="11"/>
        <color theme="1"/>
        <rFont val="Calibri"/>
        <family val="2"/>
        <scheme val="minor"/>
      </rPr>
      <t xml:space="preserve"> is</t>
    </r>
  </si>
  <si>
    <t>Please leave as £0 if you work full time</t>
  </si>
  <si>
    <r>
      <t xml:space="preserve">My current </t>
    </r>
    <r>
      <rPr>
        <b/>
        <sz val="11"/>
        <color theme="1"/>
        <rFont val="Calibri"/>
        <family val="2"/>
        <scheme val="minor"/>
      </rPr>
      <t>full time base salary</t>
    </r>
    <r>
      <rPr>
        <sz val="11"/>
        <color theme="1"/>
        <rFont val="Calibri"/>
        <family val="2"/>
        <scheme val="minor"/>
      </rPr>
      <t xml:space="preserve"> is</t>
    </r>
  </si>
  <si>
    <r>
      <t xml:space="preserve">My </t>
    </r>
    <r>
      <rPr>
        <b/>
        <sz val="11"/>
        <rFont val="Calibri"/>
        <family val="2"/>
        <scheme val="minor"/>
      </rPr>
      <t>annual mark time</t>
    </r>
    <r>
      <rPr>
        <sz val="11"/>
        <rFont val="Calibri"/>
        <family val="2"/>
        <scheme val="minor"/>
      </rPr>
      <t xml:space="preserve"> allowance is</t>
    </r>
  </si>
  <si>
    <t>Please leave as £0 if you do not receive a mark time allowance</t>
  </si>
  <si>
    <r>
      <t>Automatically Calculated FTE</t>
    </r>
    <r>
      <rPr>
        <sz val="11"/>
        <rFont val="Calibri"/>
        <family val="2"/>
        <scheme val="minor"/>
      </rPr>
      <t>*</t>
    </r>
  </si>
  <si>
    <t>My Grade is</t>
  </si>
  <si>
    <t>New Offer AA.National.</t>
  </si>
  <si>
    <t>2024/25 Pay Award*</t>
  </si>
  <si>
    <t>Part Time Staff Values (Adjusted to FTE)*</t>
  </si>
  <si>
    <t>2024/25 Base Salary</t>
  </si>
  <si>
    <t>Consolidated Award (inc in Base Salary)</t>
  </si>
  <si>
    <t>Non Consolidated Award</t>
  </si>
  <si>
    <t>Total Award†</t>
  </si>
  <si>
    <t>Final Percentage Awarded†</t>
  </si>
  <si>
    <t>New 2024/25 Pay Range Minima</t>
  </si>
  <si>
    <t>New 2024/25 Pay Range Maxima</t>
  </si>
  <si>
    <t>Mark Time Position (if applicable)*</t>
  </si>
  <si>
    <t>2023/24 Mark Time</t>
  </si>
  <si>
    <t>2024/25 Mark Time</t>
  </si>
  <si>
    <t xml:space="preserve">Mark Time Reduction </t>
  </si>
  <si>
    <t>* These figures are subject to roundings with a maximum margin of error of £10.</t>
  </si>
  <si>
    <t xml:space="preserve">† These figures could be made up of consolidated and non-consolidated awards.  </t>
  </si>
  <si>
    <t>SIP data - 30-04-2024</t>
  </si>
  <si>
    <t>Remuneration data - 30-04-2024</t>
  </si>
  <si>
    <t>Old Pay Band</t>
  </si>
  <si>
    <t>New Pay Band</t>
  </si>
  <si>
    <t>Pay Award Function</t>
  </si>
  <si>
    <t>On Costs</t>
  </si>
  <si>
    <t>After Capping</t>
  </si>
  <si>
    <t>Distinct Grade</t>
  </si>
  <si>
    <t>Salary</t>
  </si>
  <si>
    <t>My annual mark time allowance is</t>
  </si>
  <si>
    <t>My current part time base salary</t>
  </si>
  <si>
    <t>Automatically Calculated FTE</t>
  </si>
  <si>
    <t>Valid Selection:</t>
  </si>
  <si>
    <t>Pay Band Combination</t>
  </si>
  <si>
    <t>Specialist?</t>
  </si>
  <si>
    <t>Generic equivalent</t>
  </si>
  <si>
    <t>Anon ID</t>
  </si>
  <si>
    <t>Employee Number</t>
  </si>
  <si>
    <t>Revised FTE</t>
  </si>
  <si>
    <t>Business Group</t>
  </si>
  <si>
    <t>MOJ Grade</t>
  </si>
  <si>
    <t>Location</t>
  </si>
  <si>
    <t>specialism</t>
  </si>
  <si>
    <t>Current Mark Time (Actual)</t>
  </si>
  <si>
    <t>Current Mark Time (FTE)</t>
  </si>
  <si>
    <t>Old Generic Min</t>
  </si>
  <si>
    <t>Old Generic Max</t>
  </si>
  <si>
    <t>Old Specialist Min (Legacy)</t>
  </si>
  <si>
    <t>Old Specialist Max (Legacy)</t>
  </si>
  <si>
    <t>New Generic Min</t>
  </si>
  <si>
    <t>New Generic Max</t>
  </si>
  <si>
    <t>New Specialist Min (Legacy)</t>
  </si>
  <si>
    <t>New Specialist Max (Legacy)</t>
  </si>
  <si>
    <t>Old Consolidated: (Salary + Current Mark Time)</t>
  </si>
  <si>
    <t xml:space="preserve">New Mark Time: Max(Old Consolidated - New Legacy max), 0)
</t>
  </si>
  <si>
    <t>Salary after Mark Time Erosion:
 (Current Salary + Current Mark Time - New Mark Time)</t>
  </si>
  <si>
    <t>Eroded Mark Time:
Abs(New Mark Time - Current Mark Time)</t>
  </si>
  <si>
    <t>Progression Award:
(Position of Old Generic Pay Range (Old Generic Max) * Progression %)</t>
  </si>
  <si>
    <t>Salary After Progression Award:
(Salary + Progression Award)</t>
  </si>
  <si>
    <t>Salary Raised to Min:
max ( New Min, Salary After Progression AWard)</t>
  </si>
  <si>
    <t xml:space="preserve">Additional Award (placeholder):
</t>
  </si>
  <si>
    <t>Final Salary:
Max( Min (Salary Raised to Min + Eroded Mark Time + Additional Award , New Max Generic), Salary)</t>
  </si>
  <si>
    <t>Con Award [not including any eroded mark time]
Final Salary - Eroded Mark Time - Current Salary</t>
  </si>
  <si>
    <t>Non Con Award:
- (Progression Award + Additional Award + Increase due to raising to minimum) - Con Award</t>
  </si>
  <si>
    <t>NLW Deduction</t>
  </si>
  <si>
    <t>New Consolidated (New Salary+ New Mark Time)</t>
  </si>
  <si>
    <t>New Consolidated (Actual):
New Consolidated * Revised FTE</t>
  </si>
  <si>
    <t>ERNIC</t>
  </si>
  <si>
    <t>Pension</t>
  </si>
  <si>
    <t>Non-Con Actual</t>
  </si>
  <si>
    <t>Total On Costs</t>
  </si>
  <si>
    <t>check</t>
  </si>
  <si>
    <t>% Award:
(Con Award + Non Con Award)/ Salary</t>
  </si>
  <si>
    <t>Position in Range Before Award</t>
  </si>
  <si>
    <t>Position in Range After Award</t>
  </si>
  <si>
    <t>Capping</t>
  </si>
  <si>
    <t>Capped Award</t>
  </si>
  <si>
    <t>Salary After Capped Award</t>
  </si>
  <si>
    <t>Salary After Raising to Min</t>
  </si>
  <si>
    <t>Additional Award</t>
  </si>
  <si>
    <t>Final Salary</t>
  </si>
  <si>
    <t>Con Award</t>
  </si>
  <si>
    <t>Non-Con Award</t>
  </si>
  <si>
    <t>% Award</t>
  </si>
  <si>
    <t>Change in Final Salary</t>
  </si>
  <si>
    <t>Change in Non Con</t>
  </si>
  <si>
    <t>change in con award</t>
  </si>
  <si>
    <t>n/a</t>
  </si>
  <si>
    <t>Grade</t>
  </si>
  <si>
    <t>National/London</t>
  </si>
  <si>
    <t>Specialist Level</t>
  </si>
  <si>
    <t>Combined Column</t>
  </si>
  <si>
    <t>Generic Equivalents</t>
  </si>
  <si>
    <t>2023/24 Min</t>
  </si>
  <si>
    <t>2023/24 Max</t>
  </si>
  <si>
    <t>2024/25 Min</t>
  </si>
  <si>
    <t>2024/25 Max</t>
  </si>
  <si>
    <t>Notes</t>
  </si>
  <si>
    <t>Grade 6</t>
  </si>
  <si>
    <t>London</t>
  </si>
  <si>
    <t>Generalist</t>
  </si>
  <si>
    <t>New Offer G6.London.</t>
  </si>
  <si>
    <t>Your full time equivalent (FTE) pay is above the new pay range minima</t>
  </si>
  <si>
    <t>Level A</t>
  </si>
  <si>
    <t>New Offer G6.London.Level a</t>
  </si>
  <si>
    <t>Level B</t>
  </si>
  <si>
    <t>New Offer G6.London.Level b</t>
  </si>
  <si>
    <t>Level C</t>
  </si>
  <si>
    <t>New Offer G6.London.Level c</t>
  </si>
  <si>
    <t>National</t>
  </si>
  <si>
    <t>New Offer G6.National.</t>
  </si>
  <si>
    <t>New Offer G6.National.Level a</t>
  </si>
  <si>
    <t>New Offer G6.National.Level b</t>
  </si>
  <si>
    <t>New Offer G6.National.Level c</t>
  </si>
  <si>
    <t>Grade 7</t>
  </si>
  <si>
    <t>New Offer G7.London.</t>
  </si>
  <si>
    <t>New Offer G7.London.Level a</t>
  </si>
  <si>
    <t>New Offer G7.London.Level b</t>
  </si>
  <si>
    <t>New Offer G7.London.Level c</t>
  </si>
  <si>
    <t>New Offer G7.National.</t>
  </si>
  <si>
    <t>New Offer G7.National.Level a</t>
  </si>
  <si>
    <t>New Offer G7.National.Level b</t>
  </si>
  <si>
    <t>New Offer G7.National.Level c</t>
  </si>
  <si>
    <t>SEO</t>
  </si>
  <si>
    <t>New Offer SEO.London.</t>
  </si>
  <si>
    <t>New Offer SEO.London.Level a</t>
  </si>
  <si>
    <t>New Offer SEO.London.Level b</t>
  </si>
  <si>
    <t>New Offer SEO.London.Level c</t>
  </si>
  <si>
    <t>New Offer SEO.National.</t>
  </si>
  <si>
    <t>New Offer SEO.National.Level a</t>
  </si>
  <si>
    <t>New Offer SEO.National.Level b</t>
  </si>
  <si>
    <t>New Offer SEO.National.Level c</t>
  </si>
  <si>
    <t>HEO</t>
  </si>
  <si>
    <t>New Offer HEO.London.</t>
  </si>
  <si>
    <t>New Offer HEO.London.Level b</t>
  </si>
  <si>
    <t>New Offer HEO.National.</t>
  </si>
  <si>
    <t>New Offer HEO.National.Level b</t>
  </si>
  <si>
    <t>EO</t>
  </si>
  <si>
    <t>New Offer EO.London.</t>
  </si>
  <si>
    <t>New Offer EO.London.Level b</t>
  </si>
  <si>
    <t>New Offer EO.National.</t>
  </si>
  <si>
    <t>New Offer EO.National.Level b</t>
  </si>
  <si>
    <t>AO</t>
  </si>
  <si>
    <t>New Offer AO.London.</t>
  </si>
  <si>
    <t>New Offer AO.National.</t>
  </si>
  <si>
    <t>AA</t>
  </si>
  <si>
    <t>New Offer AA.London.</t>
  </si>
  <si>
    <t>Removed New Offer HEO.National.Level a &amp; New Offer HEO.london.Level a as no one has this distinct grade anymore</t>
  </si>
  <si>
    <t>Model Parameters</t>
  </si>
  <si>
    <r>
      <t xml:space="preserve">Position of Old Range </t>
    </r>
    <r>
      <rPr>
        <b/>
        <sz val="11"/>
        <color theme="0"/>
        <rFont val="Calibri"/>
        <family val="2"/>
        <scheme val="minor"/>
      </rPr>
      <t>(for progression award)</t>
    </r>
  </si>
  <si>
    <t>Progression Award</t>
  </si>
  <si>
    <t>Formula for below or above min/max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</si>
</sst>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43" formatCode="_-* #,##0.00_-;\-* #,##0.00_-;_-* &quot;-&quot;??_-;_-@_-"/>
    <numFmt numFmtId="164" formatCode="&quot;£&quot;#,##0"/>
    <numFmt numFmtId="165" formatCode="0.0%"/>
    <numFmt numFmtId="166" formatCode="_-* #,##0_-;\-* #,##0_-;_-* &quot;-&quot;??_-;_-@_-"/>
  </numFmts>
  <fonts count="21" x14ac:knownFonts="1">
    <font>
      <sz val="11"/>
      <color theme="1"/>
      <name val="Calibri"/>
      <family val="2"/>
      <scheme val="minor"/>
    </font>
    <font>
      <sz val="11"/>
      <color theme="1"/>
      <name val="Calibri"/>
      <family val="2"/>
      <scheme val="minor"/>
    </font>
    <font>
      <sz val="11"/>
      <color rgb="FF9C5700"/>
      <name val="Calibri"/>
      <family val="2"/>
      <scheme val="minor"/>
    </font>
    <font>
      <b/>
      <sz val="11"/>
      <color theme="0"/>
      <name val="Calibri"/>
      <family val="2"/>
      <scheme val="minor"/>
    </font>
    <font>
      <b/>
      <sz val="11"/>
      <color theme="1"/>
      <name val="Calibri"/>
      <family val="2"/>
      <scheme val="minor"/>
    </font>
    <font>
      <sz val="11"/>
      <color rgb="FF000000"/>
      <name val="Calibri"/>
      <family val="2"/>
      <scheme val="minor"/>
    </font>
    <font>
      <b/>
      <sz val="11"/>
      <color theme="4" tint="-0.249977111117893"/>
      <name val="Calibri"/>
      <family val="2"/>
      <scheme val="minor"/>
    </font>
    <font>
      <sz val="11"/>
      <color rgb="FFFF0000"/>
      <name val="Calibri"/>
      <family val="2"/>
      <scheme val="minor"/>
    </font>
    <font>
      <i/>
      <sz val="11"/>
      <color rgb="FFFF0000"/>
      <name val="Calibri"/>
      <family val="2"/>
      <scheme val="minor"/>
    </font>
    <font>
      <i/>
      <sz val="11"/>
      <color theme="4" tint="-0.249977111117893"/>
      <name val="Calibri"/>
      <family val="2"/>
      <scheme val="minor"/>
    </font>
    <font>
      <b/>
      <i/>
      <sz val="11"/>
      <color theme="4" tint="-0.249977111117893"/>
      <name val="Calibri"/>
      <family val="2"/>
      <scheme val="minor"/>
    </font>
    <font>
      <sz val="11"/>
      <name val="Calibri"/>
      <family val="2"/>
      <scheme val="minor"/>
    </font>
    <font>
      <sz val="10"/>
      <name val="Arial"/>
      <family val="2"/>
    </font>
    <font>
      <sz val="8"/>
      <name val="Arial"/>
      <family val="2"/>
    </font>
    <font>
      <b/>
      <sz val="16"/>
      <color theme="0"/>
      <name val="Calibri"/>
      <family val="2"/>
    </font>
    <font>
      <i/>
      <sz val="11"/>
      <color rgb="FFC00000"/>
      <name val="Calibri"/>
      <family val="2"/>
      <scheme val="minor"/>
    </font>
    <font>
      <sz val="12"/>
      <color theme="1"/>
      <name val="Calibri"/>
      <family val="2"/>
      <scheme val="minor"/>
    </font>
    <font>
      <sz val="11"/>
      <color theme="0"/>
      <name val="Calibri"/>
      <family val="2"/>
      <scheme val="minor"/>
    </font>
    <font>
      <b/>
      <sz val="11"/>
      <name val="Calibri"/>
      <family val="2"/>
      <scheme val="minor"/>
    </font>
    <font>
      <b/>
      <i/>
      <sz val="11"/>
      <color rgb="FFFF0000"/>
      <name val="Calibri"/>
      <family val="2"/>
      <scheme val="minor"/>
    </font>
    <font>
      <b/>
      <sz val="12"/>
      <color theme="0"/>
      <name val="Calibri"/>
      <family val="2"/>
      <scheme val="minor"/>
    </font>
  </fonts>
  <fills count="6">
    <fill>
      <patternFill patternType="none"/>
    </fill>
    <fill>
      <patternFill patternType="gray125"/>
    </fill>
    <fill>
      <patternFill patternType="solid">
        <fgColor rgb="FFFFEB9C"/>
      </patternFill>
    </fill>
    <fill>
      <patternFill patternType="solid">
        <fgColor rgb="FFA5A5A5"/>
      </patternFill>
    </fill>
    <fill>
      <patternFill patternType="solid">
        <fgColor theme="4" tint="-0.249977111117893"/>
        <bgColor indexed="64"/>
      </patternFill>
    </fill>
    <fill>
      <patternFill patternType="solid">
        <fgColor indexed="49"/>
        <bgColor indexed="64"/>
      </patternFill>
    </fill>
  </fills>
  <borders count="19">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bottom style="double">
        <color rgb="FF3F3F3F"/>
      </bottom>
      <diagonal/>
    </border>
    <border>
      <left style="medium">
        <color theme="4" tint="-0.24994659260841701"/>
      </left>
      <right/>
      <top style="medium">
        <color theme="4" tint="-0.24994659260841701"/>
      </top>
      <bottom/>
      <diagonal/>
    </border>
    <border>
      <left/>
      <right/>
      <top style="medium">
        <color theme="4" tint="-0.24994659260841701"/>
      </top>
      <bottom/>
      <diagonal/>
    </border>
    <border>
      <left/>
      <right style="medium">
        <color theme="4" tint="-0.24994659260841701"/>
      </right>
      <top style="medium">
        <color theme="4" tint="-0.24994659260841701"/>
      </top>
      <bottom/>
      <diagonal/>
    </border>
    <border>
      <left style="medium">
        <color theme="4" tint="-0.24994659260841701"/>
      </left>
      <right/>
      <top/>
      <bottom/>
      <diagonal/>
    </border>
    <border>
      <left/>
      <right style="medium">
        <color theme="4" tint="-0.24994659260841701"/>
      </right>
      <top/>
      <bottom/>
      <diagonal/>
    </border>
    <border>
      <left style="medium">
        <color theme="4" tint="-0.24994659260841701"/>
      </left>
      <right/>
      <top/>
      <bottom style="medium">
        <color theme="4" tint="-0.24994659260841701"/>
      </bottom>
      <diagonal/>
    </border>
    <border>
      <left/>
      <right/>
      <top/>
      <bottom style="medium">
        <color theme="4" tint="-0.24994659260841701"/>
      </bottom>
      <diagonal/>
    </border>
    <border>
      <left/>
      <right style="medium">
        <color theme="4" tint="-0.24994659260841701"/>
      </right>
      <top/>
      <bottom style="medium">
        <color theme="4" tint="-0.2499465926084170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indexed="64"/>
      </left>
      <right/>
      <top/>
      <bottom/>
      <diagonal/>
    </border>
    <border>
      <left/>
      <right/>
      <top style="thin">
        <color indexed="64"/>
      </top>
      <bottom style="thin">
        <color indexed="64"/>
      </bottom>
      <diagonal/>
    </border>
  </borders>
  <cellStyleXfs count="16">
    <xf numFmtId="0" fontId="0" fillId="0" borderId="0"/>
    <xf numFmtId="9" fontId="1" fillId="0" borderId="0" applyFont="0" applyFill="0" applyBorder="0" applyAlignment="0" applyProtection="0"/>
    <xf numFmtId="0" fontId="2" fillId="2" borderId="0" applyNumberFormat="0" applyBorder="0" applyAlignment="0" applyProtection="0"/>
    <xf numFmtId="0" fontId="3" fillId="3" borderId="1" applyNumberFormat="0" applyAlignment="0" applyProtection="0"/>
    <xf numFmtId="44" fontId="1" fillId="0" borderId="0" applyFont="0" applyFill="0" applyBorder="0" applyAlignment="0" applyProtection="0"/>
    <xf numFmtId="0" fontId="5" fillId="0" borderId="0"/>
    <xf numFmtId="0" fontId="12" fillId="0" borderId="0"/>
    <xf numFmtId="0" fontId="13" fillId="5" borderId="0">
      <alignment vertical="top"/>
    </xf>
    <xf numFmtId="44" fontId="1" fillId="0" borderId="0" applyFont="0" applyFill="0" applyBorder="0" applyAlignment="0" applyProtection="0"/>
    <xf numFmtId="0" fontId="16" fillId="0" borderId="0"/>
    <xf numFmtId="43"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cellStyleXfs>
  <cellXfs count="89">
    <xf numFmtId="0" fontId="0" fillId="0" borderId="0" xfId="0"/>
    <xf numFmtId="164" fontId="0" fillId="0" borderId="0" xfId="0" applyNumberFormat="1"/>
    <xf numFmtId="2" fontId="3" fillId="3" borderId="3" xfId="3" applyNumberFormat="1" applyBorder="1"/>
    <xf numFmtId="164" fontId="0" fillId="0" borderId="2" xfId="0" quotePrefix="1" applyNumberFormat="1" applyBorder="1"/>
    <xf numFmtId="164" fontId="0" fillId="0" borderId="2" xfId="0" applyNumberFormat="1" applyBorder="1"/>
    <xf numFmtId="0" fontId="2" fillId="2" borderId="2" xfId="2" applyBorder="1" applyProtection="1">
      <protection locked="0"/>
    </xf>
    <xf numFmtId="164" fontId="11" fillId="0" borderId="2" xfId="0" quotePrefix="1" applyNumberFormat="1" applyFont="1" applyBorder="1"/>
    <xf numFmtId="165" fontId="0" fillId="0" borderId="0" xfId="1" applyNumberFormat="1"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0" xfId="0" quotePrefix="1"/>
    <xf numFmtId="164" fontId="0" fillId="0" borderId="0" xfId="0" quotePrefix="1" applyNumberFormat="1"/>
    <xf numFmtId="0" fontId="0" fillId="0" borderId="16" xfId="0" applyBorder="1" applyAlignment="1">
      <alignment wrapText="1"/>
    </xf>
    <xf numFmtId="0" fontId="0" fillId="0" borderId="16" xfId="0" applyBorder="1"/>
    <xf numFmtId="0" fontId="4" fillId="0" borderId="16" xfId="0" applyFont="1" applyBorder="1"/>
    <xf numFmtId="0" fontId="4" fillId="0" borderId="0" xfId="0" applyFont="1" applyAlignment="1">
      <alignment horizontal="center"/>
    </xf>
    <xf numFmtId="0" fontId="6" fillId="0" borderId="0" xfId="0" applyFont="1"/>
    <xf numFmtId="0" fontId="7" fillId="0" borderId="0" xfId="0" applyFont="1" applyAlignment="1">
      <alignment wrapText="1"/>
    </xf>
    <xf numFmtId="0" fontId="0" fillId="0" borderId="0" xfId="0" applyAlignment="1">
      <alignment horizontal="right" indent="1"/>
    </xf>
    <xf numFmtId="164" fontId="2" fillId="2" borderId="14" xfId="2" applyNumberFormat="1" applyBorder="1" applyProtection="1">
      <protection locked="0"/>
    </xf>
    <xf numFmtId="0" fontId="9" fillId="0" borderId="0" xfId="0" applyFont="1"/>
    <xf numFmtId="0" fontId="8" fillId="0" borderId="0" xfId="0" applyFont="1"/>
    <xf numFmtId="164" fontId="2" fillId="2" borderId="15" xfId="2" applyNumberFormat="1" applyBorder="1" applyProtection="1">
      <protection locked="0"/>
    </xf>
    <xf numFmtId="164" fontId="8" fillId="0" borderId="0" xfId="0" applyNumberFormat="1" applyFont="1"/>
    <xf numFmtId="0" fontId="0" fillId="0" borderId="2" xfId="0" applyBorder="1" applyAlignment="1">
      <alignment horizontal="left"/>
    </xf>
    <xf numFmtId="0" fontId="11" fillId="0" borderId="2" xfId="0" applyFont="1" applyBorder="1" applyAlignment="1">
      <alignment horizontal="left"/>
    </xf>
    <xf numFmtId="165" fontId="0" fillId="0" borderId="2" xfId="1" applyNumberFormat="1" applyFont="1" applyBorder="1"/>
    <xf numFmtId="0" fontId="7" fillId="0" borderId="0" xfId="0" applyFont="1"/>
    <xf numFmtId="0" fontId="0" fillId="0" borderId="2" xfId="0" applyBorder="1" applyAlignment="1">
      <alignment horizontal="left" indent="1"/>
    </xf>
    <xf numFmtId="0" fontId="0" fillId="0" borderId="0" xfId="0" applyAlignment="1">
      <alignment horizontal="left" indent="1"/>
    </xf>
    <xf numFmtId="0" fontId="9" fillId="0" borderId="0" xfId="0" applyFont="1" applyAlignment="1">
      <alignment horizontal="left" indent="1"/>
    </xf>
    <xf numFmtId="0" fontId="15" fillId="0" borderId="0" xfId="0" applyFont="1"/>
    <xf numFmtId="0" fontId="11" fillId="0" borderId="2" xfId="0" applyFont="1" applyBorder="1" applyAlignment="1">
      <alignment horizontal="left" indent="1"/>
    </xf>
    <xf numFmtId="164" fontId="11" fillId="0" borderId="0" xfId="0" quotePrefix="1" applyNumberFormat="1" applyFont="1"/>
    <xf numFmtId="0" fontId="11" fillId="0" borderId="0" xfId="0" applyFont="1" applyAlignment="1">
      <alignment horizontal="right" indent="1"/>
    </xf>
    <xf numFmtId="0" fontId="0" fillId="0" borderId="0" xfId="0" applyAlignment="1">
      <alignment horizontal="left"/>
    </xf>
    <xf numFmtId="0" fontId="17" fillId="0" borderId="0" xfId="0" applyFont="1"/>
    <xf numFmtId="0" fontId="3" fillId="0" borderId="0" xfId="0" applyFont="1" applyAlignment="1">
      <alignment horizontal="center" vertical="center" wrapText="1"/>
    </xf>
    <xf numFmtId="164" fontId="17" fillId="0" borderId="0" xfId="0" applyNumberFormat="1" applyFont="1"/>
    <xf numFmtId="165" fontId="17" fillId="0" borderId="0" xfId="11" applyNumberFormat="1" applyFont="1" applyFill="1" applyBorder="1"/>
    <xf numFmtId="0" fontId="3" fillId="0" borderId="0" xfId="0" applyFont="1"/>
    <xf numFmtId="164" fontId="3" fillId="0" borderId="0" xfId="0" applyNumberFormat="1" applyFont="1" applyAlignment="1">
      <alignment horizontal="right"/>
    </xf>
    <xf numFmtId="0" fontId="3" fillId="0" borderId="0" xfId="0" applyFont="1" applyAlignment="1">
      <alignment horizontal="right"/>
    </xf>
    <xf numFmtId="0" fontId="17" fillId="0" borderId="0" xfId="0" applyFont="1" applyAlignment="1">
      <alignment vertical="center" wrapText="1"/>
    </xf>
    <xf numFmtId="165" fontId="17" fillId="0" borderId="0" xfId="1" applyNumberFormat="1" applyFont="1" applyFill="1" applyBorder="1"/>
    <xf numFmtId="0" fontId="3" fillId="0" borderId="0" xfId="5" applyFont="1"/>
    <xf numFmtId="0" fontId="17" fillId="0" borderId="0" xfId="5" applyFont="1"/>
    <xf numFmtId="9" fontId="17" fillId="0" borderId="0" xfId="11" applyFont="1" applyFill="1" applyBorder="1" applyAlignment="1">
      <alignment horizontal="right"/>
    </xf>
    <xf numFmtId="166" fontId="3" fillId="0" borderId="0" xfId="14" applyNumberFormat="1" applyFont="1" applyFill="1" applyBorder="1" applyAlignment="1">
      <alignment vertical="center" wrapText="1"/>
    </xf>
    <xf numFmtId="166" fontId="17" fillId="0" borderId="0" xfId="14" applyNumberFormat="1" applyFont="1" applyFill="1" applyBorder="1" applyAlignment="1">
      <alignment wrapText="1"/>
    </xf>
    <xf numFmtId="44" fontId="17" fillId="0" borderId="0" xfId="4" applyFont="1" applyFill="1" applyBorder="1"/>
    <xf numFmtId="166" fontId="17" fillId="0" borderId="0" xfId="14" applyNumberFormat="1" applyFont="1" applyFill="1" applyBorder="1"/>
    <xf numFmtId="166" fontId="17" fillId="0" borderId="0" xfId="14" applyNumberFormat="1" applyFont="1" applyFill="1" applyBorder="1" applyAlignment="1">
      <alignment vertical="top" wrapText="1"/>
    </xf>
    <xf numFmtId="166" fontId="17" fillId="0" borderId="0" xfId="12" applyNumberFormat="1" applyFont="1" applyFill="1" applyBorder="1" applyAlignment="1">
      <alignment vertical="top" wrapText="1"/>
    </xf>
    <xf numFmtId="10" fontId="17" fillId="0" borderId="0" xfId="11" applyNumberFormat="1" applyFont="1" applyFill="1" applyBorder="1"/>
    <xf numFmtId="9" fontId="17" fillId="0" borderId="0" xfId="11" applyFont="1" applyFill="1" applyBorder="1"/>
    <xf numFmtId="0" fontId="17" fillId="0" borderId="0" xfId="0" applyFont="1" applyFill="1"/>
    <xf numFmtId="0" fontId="17" fillId="0" borderId="0" xfId="0" applyFont="1" applyFill="1" applyAlignment="1">
      <alignment wrapText="1"/>
    </xf>
    <xf numFmtId="0" fontId="3" fillId="0" borderId="0" xfId="0" applyFont="1" applyFill="1" applyAlignment="1">
      <alignment horizontal="center" wrapText="1"/>
    </xf>
    <xf numFmtId="0" fontId="20" fillId="0" borderId="0" xfId="0" applyFont="1" applyFill="1" applyAlignment="1">
      <alignment horizontal="center" wrapText="1"/>
    </xf>
    <xf numFmtId="0" fontId="3" fillId="0" borderId="0" xfId="0" applyFont="1" applyFill="1" applyAlignment="1">
      <alignment wrapText="1"/>
    </xf>
    <xf numFmtId="0" fontId="3" fillId="0" borderId="0" xfId="0" applyFont="1" applyFill="1" applyAlignment="1">
      <alignment horizontal="center" vertical="center" wrapText="1"/>
    </xf>
    <xf numFmtId="0" fontId="3" fillId="0" borderId="0" xfId="0" applyFont="1" applyFill="1" applyAlignment="1">
      <alignment vertical="center" wrapText="1"/>
    </xf>
    <xf numFmtId="0" fontId="20" fillId="0" borderId="0" xfId="0" applyFont="1" applyFill="1" applyAlignment="1">
      <alignment horizontal="center" vertical="center" wrapText="1"/>
    </xf>
    <xf numFmtId="2" fontId="3" fillId="0" borderId="0" xfId="0" applyNumberFormat="1" applyFont="1" applyFill="1" applyAlignment="1">
      <alignment horizontal="center" vertical="center" wrapText="1"/>
    </xf>
    <xf numFmtId="166" fontId="17" fillId="0" borderId="0" xfId="0" applyNumberFormat="1" applyFont="1" applyFill="1" applyAlignment="1">
      <alignment wrapText="1"/>
    </xf>
    <xf numFmtId="164" fontId="17" fillId="0" borderId="0" xfId="0" applyNumberFormat="1" applyFont="1" applyFill="1"/>
    <xf numFmtId="164" fontId="3" fillId="0" borderId="0" xfId="0" quotePrefix="1" applyNumberFormat="1" applyFont="1" applyFill="1"/>
    <xf numFmtId="0" fontId="3" fillId="0" borderId="0" xfId="0" applyFont="1" applyFill="1" applyAlignment="1">
      <alignment horizontal="center"/>
    </xf>
    <xf numFmtId="166" fontId="17" fillId="0" borderId="0" xfId="0" applyNumberFormat="1" applyFont="1" applyFill="1" applyAlignment="1">
      <alignment vertical="top" wrapText="1"/>
    </xf>
    <xf numFmtId="43" fontId="17" fillId="0" borderId="0" xfId="0" applyNumberFormat="1" applyFont="1" applyFill="1"/>
    <xf numFmtId="166" fontId="17" fillId="0" borderId="0" xfId="0" applyNumberFormat="1" applyFont="1" applyFill="1"/>
    <xf numFmtId="2" fontId="17" fillId="0" borderId="0" xfId="0" applyNumberFormat="1" applyFont="1" applyFill="1"/>
    <xf numFmtId="0" fontId="10" fillId="0" borderId="0" xfId="0" applyFont="1" applyAlignment="1">
      <alignment horizontal="center" vertical="center" wrapText="1"/>
    </xf>
    <xf numFmtId="0" fontId="4" fillId="0" borderId="0" xfId="0" applyFont="1" applyAlignment="1">
      <alignment horizontal="center"/>
    </xf>
    <xf numFmtId="0" fontId="19" fillId="0" borderId="0" xfId="0" applyFont="1" applyAlignment="1">
      <alignment horizontal="center" vertical="center" wrapText="1"/>
    </xf>
    <xf numFmtId="0" fontId="14" fillId="4" borderId="17" xfId="0" applyFont="1" applyFill="1" applyBorder="1" applyAlignment="1">
      <alignment horizontal="center"/>
    </xf>
    <xf numFmtId="0" fontId="14" fillId="4" borderId="0" xfId="0" applyFont="1" applyFill="1" applyAlignment="1">
      <alignment horizontal="center"/>
    </xf>
    <xf numFmtId="164" fontId="0" fillId="0" borderId="12" xfId="0" applyNumberFormat="1" applyBorder="1" applyAlignment="1">
      <alignment horizontal="center"/>
    </xf>
    <xf numFmtId="164" fontId="0" fillId="0" borderId="18" xfId="0" applyNumberFormat="1" applyBorder="1" applyAlignment="1">
      <alignment horizontal="center"/>
    </xf>
    <xf numFmtId="164" fontId="0" fillId="0" borderId="13" xfId="0" applyNumberFormat="1" applyBorder="1" applyAlignment="1">
      <alignment horizontal="center"/>
    </xf>
    <xf numFmtId="0" fontId="3" fillId="0" borderId="0" xfId="0" applyFont="1" applyFill="1" applyAlignment="1">
      <alignment horizontal="center" wrapText="1"/>
    </xf>
    <xf numFmtId="0" fontId="3" fillId="0" borderId="0" xfId="0" applyFont="1" applyFill="1" applyAlignment="1">
      <alignment horizontal="center" vertical="center" wrapText="1"/>
    </xf>
  </cellXfs>
  <cellStyles count="16">
    <cellStyle name="Blank" xfId="7" xr:uid="{928CC0A4-F5EA-4FEB-B535-24301B2AFD90}"/>
    <cellStyle name="Check Cell" xfId="3" builtinId="23"/>
    <cellStyle name="Comma 2" xfId="14" xr:uid="{3076835B-A52F-486A-B58B-B9EB1770E48A}"/>
    <cellStyle name="Comma 3" xfId="10" xr:uid="{39405C92-8586-47F6-8F6E-3E1FC976F340}"/>
    <cellStyle name="Currency" xfId="4" builtinId="4"/>
    <cellStyle name="Currency 2" xfId="8" xr:uid="{8B8181FF-BC3C-4E3A-8E38-FE859466FCFB}"/>
    <cellStyle name="Currency 3" xfId="15" xr:uid="{6EE581C9-5FA2-43CA-AC8D-0B8CCD756B5A}"/>
    <cellStyle name="Neutral" xfId="2" builtinId="28"/>
    <cellStyle name="Normal" xfId="0" builtinId="0"/>
    <cellStyle name="Normal 2" xfId="6" xr:uid="{BA329046-BB2D-488D-99CB-64364D0D49E8}"/>
    <cellStyle name="Normal 2 2" xfId="13" xr:uid="{EA594C72-2588-4D22-87EC-99467A049946}"/>
    <cellStyle name="Normal 3" xfId="5" xr:uid="{74BFD494-75AA-496B-AD9C-92E09DC7CDEE}"/>
    <cellStyle name="Normal 3 2" xfId="9" xr:uid="{1D435BAD-C68F-4451-949D-0CAAD540AC2D}"/>
    <cellStyle name="Per cent" xfId="1" builtinId="5"/>
    <cellStyle name="Per cent 2" xfId="11" xr:uid="{97A87846-ADB1-422A-BEB5-D36A9289394A}"/>
    <cellStyle name="Percent 2" xfId="12" xr:uid="{4CB73400-3CB5-44EF-9311-FBA7761D348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2971800</xdr:colOff>
      <xdr:row>11</xdr:row>
      <xdr:rowOff>104775</xdr:rowOff>
    </xdr:to>
    <xdr:pic>
      <xdr:nvPicPr>
        <xdr:cNvPr id="2" name="Picture 3">
          <a:extLst>
            <a:ext uri="{FF2B5EF4-FFF2-40B4-BE49-F238E27FC236}">
              <a16:creationId xmlns:a16="http://schemas.microsoft.com/office/drawing/2014/main" id="{EA34DE00-A116-4BEC-8B62-14E1221808B4}"/>
            </a:ext>
          </a:extLst>
        </xdr:cNvPr>
        <xdr:cNvPicPr>
          <a:picLocks noChangeAspect="1"/>
        </xdr:cNvPicPr>
      </xdr:nvPicPr>
      <xdr:blipFill>
        <a:blip xmlns:r="http://schemas.openxmlformats.org/officeDocument/2006/relationships" r:embed="rId1"/>
        <a:stretch>
          <a:fillRect/>
        </a:stretch>
      </xdr:blipFill>
      <xdr:spPr>
        <a:xfrm>
          <a:off x="0" y="0"/>
          <a:ext cx="2971800" cy="2200275"/>
        </a:xfrm>
        <a:prstGeom prst="rect">
          <a:avLst/>
        </a:prstGeom>
      </xdr:spPr>
    </xdr:pic>
    <xdr:clientData/>
  </xdr:twoCellAnchor>
  <xdr:oneCellAnchor>
    <xdr:from>
      <xdr:col>0</xdr:col>
      <xdr:colOff>0</xdr:colOff>
      <xdr:row>13</xdr:row>
      <xdr:rowOff>0</xdr:rowOff>
    </xdr:from>
    <xdr:ext cx="11100766" cy="7581900"/>
    <xdr:sp macro="" textlink="">
      <xdr:nvSpPr>
        <xdr:cNvPr id="3" name="TextBox 7">
          <a:extLst>
            <a:ext uri="{FF2B5EF4-FFF2-40B4-BE49-F238E27FC236}">
              <a16:creationId xmlns:a16="http://schemas.microsoft.com/office/drawing/2014/main" id="{93413630-1719-43F1-9497-1630CBAF48EC}"/>
            </a:ext>
          </a:extLst>
        </xdr:cNvPr>
        <xdr:cNvSpPr txBox="1"/>
      </xdr:nvSpPr>
      <xdr:spPr>
        <a:xfrm>
          <a:off x="0" y="2476500"/>
          <a:ext cx="11100766" cy="7581900"/>
        </a:xfrm>
        <a:prstGeom prst="rect">
          <a:avLst/>
        </a:prstGeom>
        <a:noFill/>
        <a:ln>
          <a:noFill/>
        </a:ln>
        <a:effectLst/>
      </xdr:spPr>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ysClr val="windowText" lastClr="000000"/>
              </a:solidFill>
              <a:effectLst/>
              <a:uLnTx/>
              <a:uFillTx/>
              <a:latin typeface="Calibri" panose="020F0502020204030204"/>
              <a:ea typeface="+mn-ea"/>
              <a:cs typeface="+mn-cs"/>
            </a:rPr>
            <a:t>The pay calculator is provided to support you in understanding what the pay offer may mean for you.  To use the pay calculator you will be required to input a series of data which you will be able to find on SOP and / or your pay slip.  Listed below is some more information on the details you need and where you can find the information: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200" b="1"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200" b="1" i="0" u="none" strike="noStrike" kern="0" cap="none" spc="0" normalizeH="0" baseline="0" noProof="0">
              <a:ln>
                <a:noFill/>
              </a:ln>
              <a:solidFill>
                <a:sysClr val="windowText" lastClr="000000"/>
              </a:solidFill>
              <a:effectLst/>
              <a:uLnTx/>
              <a:uFillTx/>
              <a:latin typeface="Calibri" panose="020F0502020204030204"/>
              <a:ea typeface="+mn-ea"/>
              <a:cs typeface="+mn-cs"/>
            </a:rPr>
            <a:t>Part-time Base Salary</a:t>
          </a:r>
          <a:r>
            <a:rPr kumimoji="0" lang="en-GB" sz="12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ysClr val="windowText" lastClr="000000"/>
              </a:solidFill>
              <a:effectLst/>
              <a:uLnTx/>
              <a:uFillTx/>
              <a:latin typeface="Calibri" panose="020F0502020204030204"/>
              <a:ea typeface="+mn-ea"/>
              <a:cs typeface="+mn-cs"/>
            </a:rPr>
            <a:t>This can be found on either:</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ysClr val="windowText" lastClr="000000"/>
              </a:solidFill>
              <a:effectLst/>
              <a:uLnTx/>
              <a:uFillTx/>
              <a:latin typeface="Calibri" panose="020F0502020204030204"/>
              <a:ea typeface="+mn-ea"/>
              <a:cs typeface="+mn-cs"/>
            </a:rPr>
            <a:t>your Pay Slip (top right hand column of information); or </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ysClr val="windowText" lastClr="000000"/>
              </a:solidFill>
              <a:effectLst/>
              <a:uLnTx/>
              <a:uFillTx/>
              <a:latin typeface="Calibri" panose="020F0502020204030204"/>
              <a:ea typeface="+mn-ea"/>
              <a:cs typeface="+mn-cs"/>
            </a:rPr>
            <a:t>via SOP - select </a:t>
          </a:r>
          <a:r>
            <a:rPr kumimoji="0" lang="en-GB" sz="1200" b="0" i="1" u="none" strike="noStrike" kern="0" cap="none" spc="0" normalizeH="0" baseline="0" noProof="0">
              <a:ln>
                <a:noFill/>
              </a:ln>
              <a:solidFill>
                <a:sysClr val="windowText" lastClr="000000"/>
              </a:solidFill>
              <a:effectLst/>
              <a:uLnTx/>
              <a:uFillTx/>
              <a:latin typeface="Calibri" panose="020F0502020204030204"/>
              <a:ea typeface="+mn-ea"/>
              <a:cs typeface="+mn-cs"/>
            </a:rPr>
            <a:t>My Pay</a:t>
          </a:r>
          <a:r>
            <a:rPr kumimoji="0" lang="en-GB" sz="1200" b="0" i="0" u="none" strike="noStrike" kern="0" cap="none" spc="0" normalizeH="0" baseline="0" noProof="0">
              <a:ln>
                <a:noFill/>
              </a:ln>
              <a:solidFill>
                <a:sysClr val="windowText" lastClr="000000"/>
              </a:solidFill>
              <a:effectLst/>
              <a:uLnTx/>
              <a:uFillTx/>
              <a:latin typeface="Calibri" panose="020F0502020204030204"/>
              <a:ea typeface="+mn-ea"/>
              <a:cs typeface="+mn-cs"/>
            </a:rPr>
            <a:t> in the list of options, your pay will be shown in the first box or scroll down to </a:t>
          </a:r>
          <a:r>
            <a:rPr kumimoji="0" lang="en-GB" sz="1200" b="0" i="1" u="none" strike="noStrike" kern="0" cap="none" spc="0" normalizeH="0" baseline="0" noProof="0">
              <a:ln>
                <a:noFill/>
              </a:ln>
              <a:solidFill>
                <a:sysClr val="windowText" lastClr="000000"/>
              </a:solidFill>
              <a:effectLst/>
              <a:uLnTx/>
              <a:uFillTx/>
              <a:latin typeface="Calibri" panose="020F0502020204030204"/>
              <a:ea typeface="+mn-ea"/>
              <a:cs typeface="+mn-cs"/>
            </a:rPr>
            <a:t>Current Pay Information</a:t>
          </a:r>
          <a:endParaRPr kumimoji="0" lang="en-GB" sz="12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200" b="1"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200" b="1" i="0" u="none" strike="noStrike" kern="0" cap="none" spc="0" normalizeH="0" baseline="0" noProof="0">
              <a:ln>
                <a:noFill/>
              </a:ln>
              <a:solidFill>
                <a:sysClr val="windowText" lastClr="000000"/>
              </a:solidFill>
              <a:effectLst/>
              <a:uLnTx/>
              <a:uFillTx/>
              <a:latin typeface="Calibri" panose="020F0502020204030204"/>
              <a:ea typeface="+mn-ea"/>
              <a:cs typeface="+mn-cs"/>
            </a:rPr>
            <a:t>Full Time Base Salary</a:t>
          </a:r>
          <a:endParaRPr kumimoji="0" lang="en-GB" sz="12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ysClr val="windowText" lastClr="000000"/>
              </a:solidFill>
              <a:effectLst/>
              <a:uLnTx/>
              <a:uFillTx/>
              <a:latin typeface="Calibri" panose="020F0502020204030204"/>
              <a:ea typeface="+mn-ea"/>
              <a:cs typeface="+mn-cs"/>
            </a:rPr>
            <a:t>This can be found on either:</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ysClr val="windowText" lastClr="000000"/>
              </a:solidFill>
              <a:effectLst/>
              <a:uLnTx/>
              <a:uFillTx/>
              <a:latin typeface="Calibri" panose="020F0502020204030204"/>
              <a:ea typeface="+mn-ea"/>
              <a:cs typeface="+mn-cs"/>
            </a:rPr>
            <a:t>your Pay Slip (top right hand column of information); or </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ysClr val="windowText" lastClr="000000"/>
              </a:solidFill>
              <a:effectLst/>
              <a:uLnTx/>
              <a:uFillTx/>
              <a:latin typeface="Calibri" panose="020F0502020204030204"/>
              <a:ea typeface="+mn-ea"/>
              <a:cs typeface="+mn-cs"/>
            </a:rPr>
            <a:t>via SOP - select </a:t>
          </a:r>
          <a:r>
            <a:rPr kumimoji="0" lang="en-GB" sz="1200" b="0" i="1" u="none" strike="noStrike" kern="0" cap="none" spc="0" normalizeH="0" baseline="0" noProof="0">
              <a:ln>
                <a:noFill/>
              </a:ln>
              <a:solidFill>
                <a:sysClr val="windowText" lastClr="000000"/>
              </a:solidFill>
              <a:effectLst/>
              <a:uLnTx/>
              <a:uFillTx/>
              <a:latin typeface="Calibri" panose="020F0502020204030204"/>
              <a:ea typeface="+mn-ea"/>
              <a:cs typeface="+mn-cs"/>
            </a:rPr>
            <a:t>My Pay</a:t>
          </a:r>
          <a:r>
            <a:rPr kumimoji="0" lang="en-GB" sz="1200" b="0" i="0" u="none" strike="noStrike" kern="0" cap="none" spc="0" normalizeH="0" baseline="0" noProof="0">
              <a:ln>
                <a:noFill/>
              </a:ln>
              <a:solidFill>
                <a:sysClr val="windowText" lastClr="000000"/>
              </a:solidFill>
              <a:effectLst/>
              <a:uLnTx/>
              <a:uFillTx/>
              <a:latin typeface="Calibri" panose="020F0502020204030204"/>
              <a:ea typeface="+mn-ea"/>
              <a:cs typeface="+mn-cs"/>
            </a:rPr>
            <a:t> in the list of options, your pay will be shown in the first box or scroll down to </a:t>
          </a:r>
          <a:r>
            <a:rPr kumimoji="0" lang="en-GB" sz="1200" b="0" i="1" u="none" strike="noStrike" kern="0" cap="none" spc="0" normalizeH="0" baseline="0" noProof="0">
              <a:ln>
                <a:noFill/>
              </a:ln>
              <a:solidFill>
                <a:sysClr val="windowText" lastClr="000000"/>
              </a:solidFill>
              <a:effectLst/>
              <a:uLnTx/>
              <a:uFillTx/>
              <a:latin typeface="Calibri" panose="020F0502020204030204"/>
              <a:ea typeface="+mn-ea"/>
              <a:cs typeface="+mn-cs"/>
            </a:rPr>
            <a:t>Current Pay Information</a:t>
          </a:r>
          <a:endParaRPr kumimoji="0" lang="en-GB" sz="12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200" b="1"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200" b="1" i="0" u="none" strike="noStrike" kern="0" cap="none" spc="0" normalizeH="0" baseline="0" noProof="0">
              <a:ln>
                <a:noFill/>
              </a:ln>
              <a:solidFill>
                <a:sysClr val="windowText" lastClr="000000"/>
              </a:solidFill>
              <a:effectLst/>
              <a:uLnTx/>
              <a:uFillTx/>
              <a:latin typeface="Calibri" panose="020F0502020204030204"/>
              <a:ea typeface="+mn-ea"/>
              <a:cs typeface="+mn-cs"/>
            </a:rPr>
            <a:t>Grade</a:t>
          </a:r>
          <a:endParaRPr kumimoji="0" lang="en-GB" sz="12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ysClr val="windowText" lastClr="000000"/>
              </a:solidFill>
              <a:effectLst/>
              <a:uLnTx/>
              <a:uFillTx/>
              <a:latin typeface="Calibri" panose="020F0502020204030204"/>
              <a:ea typeface="+mn-ea"/>
              <a:cs typeface="+mn-cs"/>
            </a:rPr>
            <a:t>This can be found on either:</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ysClr val="windowText" lastClr="000000"/>
              </a:solidFill>
              <a:effectLst/>
              <a:uLnTx/>
              <a:uFillTx/>
              <a:latin typeface="Calibri" panose="020F0502020204030204"/>
              <a:ea typeface="+mn-ea"/>
              <a:cs typeface="+mn-cs"/>
            </a:rPr>
            <a:t>your Payslip (top left under your staff number); or </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ysClr val="windowText" lastClr="000000"/>
              </a:solidFill>
              <a:effectLst/>
              <a:uLnTx/>
              <a:uFillTx/>
              <a:latin typeface="Calibri" panose="020F0502020204030204"/>
              <a:ea typeface="+mn-ea"/>
              <a:cs typeface="+mn-cs"/>
            </a:rPr>
            <a:t>via SOP - select </a:t>
          </a:r>
          <a:r>
            <a:rPr kumimoji="0" lang="en-GB" sz="1200" b="0" i="1" u="none" strike="noStrike" kern="0" cap="none" spc="0" normalizeH="0" baseline="0" noProof="0">
              <a:ln>
                <a:noFill/>
              </a:ln>
              <a:solidFill>
                <a:sysClr val="windowText" lastClr="000000"/>
              </a:solidFill>
              <a:effectLst/>
              <a:uLnTx/>
              <a:uFillTx/>
              <a:latin typeface="Calibri" panose="020F0502020204030204"/>
              <a:ea typeface="+mn-ea"/>
              <a:cs typeface="+mn-cs"/>
            </a:rPr>
            <a:t>My Pay</a:t>
          </a:r>
          <a:r>
            <a:rPr kumimoji="0" lang="en-GB" sz="1200" b="0" i="0" u="none" strike="noStrike" kern="0" cap="none" spc="0" normalizeH="0" baseline="0" noProof="0">
              <a:ln>
                <a:noFill/>
              </a:ln>
              <a:solidFill>
                <a:sysClr val="windowText" lastClr="000000"/>
              </a:solidFill>
              <a:effectLst/>
              <a:uLnTx/>
              <a:uFillTx/>
              <a:latin typeface="Calibri" panose="020F0502020204030204"/>
              <a:ea typeface="+mn-ea"/>
              <a:cs typeface="+mn-cs"/>
            </a:rPr>
            <a:t> and scroll down to </a:t>
          </a:r>
          <a:r>
            <a:rPr kumimoji="0" lang="en-GB" sz="1200" b="0" i="1" u="none" strike="noStrike" kern="0" cap="none" spc="0" normalizeH="0" baseline="0" noProof="0">
              <a:ln>
                <a:noFill/>
              </a:ln>
              <a:solidFill>
                <a:sysClr val="windowText" lastClr="000000"/>
              </a:solidFill>
              <a:effectLst/>
              <a:uLnTx/>
              <a:uFillTx/>
              <a:latin typeface="Calibri" panose="020F0502020204030204"/>
              <a:ea typeface="+mn-ea"/>
              <a:cs typeface="+mn-cs"/>
            </a:rPr>
            <a:t>Current Pay information</a:t>
          </a:r>
          <a:r>
            <a:rPr kumimoji="0" lang="en-GB" sz="12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2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eaLnBrk="1" fontAlgn="auto" latinLnBrk="0" hangingPunct="1"/>
          <a:r>
            <a:rPr kumimoji="0" lang="en-GB" sz="1200" b="1" i="0" u="none" strike="noStrike" kern="0" cap="none" spc="0" normalizeH="0" baseline="0">
              <a:ln>
                <a:noFill/>
              </a:ln>
              <a:solidFill>
                <a:sysClr val="windowText" lastClr="000000"/>
              </a:solidFill>
              <a:effectLst/>
              <a:uLnTx/>
              <a:uFillTx/>
              <a:latin typeface="Calibri" panose="020F0502020204030204"/>
              <a:ea typeface="+mn-ea"/>
              <a:cs typeface="+mn-cs"/>
            </a:rPr>
            <a:t>Annual Mark time </a:t>
          </a:r>
        </a:p>
        <a:p>
          <a:pPr eaLnBrk="1" fontAlgn="auto" latinLnBrk="0" hangingPunct="1"/>
          <a:r>
            <a:rPr kumimoji="0" lang="en-GB" sz="1200" b="0" i="0" u="none" strike="noStrike" kern="0" cap="none" spc="0" normalizeH="0" baseline="0">
              <a:ln>
                <a:noFill/>
              </a:ln>
              <a:solidFill>
                <a:sysClr val="windowText" lastClr="000000"/>
              </a:solidFill>
              <a:effectLst/>
              <a:uLnTx/>
              <a:uFillTx/>
              <a:latin typeface="Calibri" panose="020F0502020204030204"/>
              <a:ea typeface="+mn-ea"/>
              <a:cs typeface="+mn-cs"/>
            </a:rPr>
            <a:t>This can be found on SOP - select My Pay and scroll down to Current Pay information.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200" b="1"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200" b="1" i="0" u="none" strike="noStrike" kern="0" cap="none" spc="0" normalizeH="0" baseline="0" noProof="0">
              <a:ln>
                <a:noFill/>
              </a:ln>
              <a:solidFill>
                <a:sysClr val="windowText" lastClr="000000"/>
              </a:solidFill>
              <a:effectLst/>
              <a:uLnTx/>
              <a:uFillTx/>
              <a:latin typeface="Calibri" panose="020F0502020204030204"/>
              <a:ea typeface="+mn-ea"/>
              <a:cs typeface="+mn-cs"/>
            </a:rPr>
            <a:t>Please note</a:t>
          </a:r>
          <a:r>
            <a:rPr kumimoji="0" lang="en-GB" sz="1200" b="0" i="0" u="none" strike="noStrike" kern="0" cap="none" spc="0" normalizeH="0" baseline="0" noProof="0">
              <a:ln>
                <a:noFill/>
              </a:ln>
              <a:solidFill>
                <a:sysClr val="windowText" lastClr="000000"/>
              </a:solidFill>
              <a:effectLst/>
              <a:uLnTx/>
              <a:uFillTx/>
              <a:latin typeface="Calibri" panose="020F0502020204030204"/>
              <a:ea typeface="+mn-ea"/>
              <a:cs typeface="+mn-cs"/>
            </a:rPr>
            <a:t> – The calculator is intended to provide a summary illustration of the pay offer.  It is reliant upon the data input by you and the assumptions within it.  Please ensure you consider the illustration in conjunction with the full details of the pay offer, including eligibility criteria.  </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ysClr val="windowText" lastClr="000000"/>
              </a:solidFill>
              <a:effectLst/>
              <a:uLnTx/>
              <a:uFillTx/>
              <a:latin typeface="Calibri" panose="020F0502020204030204"/>
              <a:ea typeface="+mn-ea"/>
              <a:cs typeface="+mn-cs"/>
            </a:rPr>
            <a:t>The calculator also assumes you will remain in the same grade, location and working hours for the duration of the pay offer and any subsequent changes in circumstances would result in a change to the illustration, for example a future promotion or change to part time hours.</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ysClr val="windowText" lastClr="000000"/>
              </a:solidFill>
              <a:effectLst/>
              <a:uLnTx/>
              <a:uFillTx/>
              <a:latin typeface="Calibri" panose="020F0502020204030204"/>
              <a:ea typeface="+mn-ea"/>
              <a:cs typeface="+mn-cs"/>
            </a:rPr>
            <a:t>The calculator has been designed to show base pay increases only and will provide an illustration of the offer for the majority of circumstances.  It will not therefore provide a read out and / or full details for certain groups.  These groups include: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200" b="1"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200" b="1" i="0" baseline="0">
              <a:solidFill>
                <a:sysClr val="windowText" lastClr="000000"/>
              </a:solidFill>
              <a:effectLst/>
              <a:latin typeface="+mn-lt"/>
              <a:ea typeface="+mn-ea"/>
              <a:cs typeface="+mn-cs"/>
            </a:rPr>
            <a:t>Digital, Data and Technology (DDaT) Pay:</a:t>
          </a:r>
          <a:r>
            <a:rPr lang="en-GB" sz="1200" b="0" i="0" baseline="0">
              <a:solidFill>
                <a:sysClr val="windowText" lastClr="000000"/>
              </a:solidFill>
              <a:effectLst/>
              <a:latin typeface="+mn-lt"/>
              <a:ea typeface="+mn-ea"/>
              <a:cs typeface="+mn-cs"/>
            </a:rPr>
            <a:t> If you are working in a DDaT role which is subject to the MoJ DDaT pay framework the calculator will confirm base salary and where applicable mark time adjustments only.  Any Recruitment and Retention Allowance (RRA) could be subject to change, please refer to the specialist DDaT pay award guidance, which will be shared via your business area, for more details.     </a:t>
          </a:r>
          <a:endParaRPr lang="en-GB" sz="1200">
            <a:solidFill>
              <a:sysClr val="windowText" lastClr="00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200" b="1"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200" b="1" i="0" u="none" strike="noStrike" kern="0" cap="none" spc="0" normalizeH="0" baseline="0" noProof="0">
              <a:ln>
                <a:noFill/>
              </a:ln>
              <a:solidFill>
                <a:sysClr val="windowText" lastClr="000000"/>
              </a:solidFill>
              <a:effectLst/>
              <a:uLnTx/>
              <a:uFillTx/>
              <a:latin typeface="Calibri" panose="020F0502020204030204"/>
              <a:ea typeface="+mn-ea"/>
              <a:cs typeface="+mn-cs"/>
            </a:rPr>
            <a:t>Fast streamers:</a:t>
          </a:r>
          <a:r>
            <a:rPr kumimoji="0" lang="en-GB" sz="1200" b="0" i="0" u="none" strike="noStrike" kern="0" cap="none" spc="0" normalizeH="0" baseline="0" noProof="0">
              <a:ln>
                <a:noFill/>
              </a:ln>
              <a:solidFill>
                <a:sysClr val="windowText" lastClr="000000"/>
              </a:solidFill>
              <a:effectLst/>
              <a:uLnTx/>
              <a:uFillTx/>
              <a:latin typeface="Calibri" panose="020F0502020204030204"/>
              <a:ea typeface="+mn-ea"/>
              <a:cs typeface="+mn-cs"/>
            </a:rPr>
            <a:t> Fast stream grades should select the HEO grade in the calculator;</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200" b="1"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200" b="1" i="0" u="none" strike="noStrike" kern="0" cap="none" spc="0" normalizeH="0" baseline="0" noProof="0">
              <a:ln>
                <a:noFill/>
              </a:ln>
              <a:solidFill>
                <a:sysClr val="windowText" lastClr="000000"/>
              </a:solidFill>
              <a:effectLst/>
              <a:uLnTx/>
              <a:uFillTx/>
              <a:latin typeface="Calibri" panose="020F0502020204030204"/>
              <a:ea typeface="+mn-ea"/>
              <a:cs typeface="+mn-cs"/>
            </a:rPr>
            <a:t>HMPPS staff:</a:t>
          </a:r>
          <a:r>
            <a:rPr kumimoji="0" lang="en-GB" sz="1200" b="0" i="0" u="none" strike="noStrike" kern="0" cap="none" spc="0" normalizeH="0" baseline="0" noProof="0">
              <a:ln>
                <a:noFill/>
              </a:ln>
              <a:solidFill>
                <a:sysClr val="windowText" lastClr="000000"/>
              </a:solidFill>
              <a:effectLst/>
              <a:uLnTx/>
              <a:uFillTx/>
              <a:latin typeface="Calibri" panose="020F0502020204030204"/>
              <a:ea typeface="+mn-ea"/>
              <a:cs typeface="+mn-cs"/>
            </a:rPr>
            <a:t> Staff in HMPPS are not eligible for the pay offer and are subject to their own pay arrangements.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200" b="1"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200" b="1" i="0" u="none" strike="noStrike" kern="0" cap="none" spc="0" normalizeH="0" baseline="0" noProof="0">
              <a:ln>
                <a:noFill/>
              </a:ln>
              <a:solidFill>
                <a:sysClr val="windowText" lastClr="000000"/>
              </a:solidFill>
              <a:effectLst/>
              <a:uLnTx/>
              <a:uFillTx/>
              <a:latin typeface="Calibri" panose="020F0502020204030204"/>
              <a:ea typeface="+mn-ea"/>
              <a:cs typeface="+mn-cs"/>
            </a:rPr>
            <a:t>If your need more support regarding the pay offer and / or offer illustration, please refer back to the guidance on the pay offer intranet pages.  </a:t>
          </a:r>
          <a:endParaRPr kumimoji="0" lang="en-GB" sz="20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200" b="1" i="0" u="none" strike="noStrike" kern="0" cap="none" spc="0" normalizeH="0" baseline="0" noProof="0">
              <a:ln>
                <a:noFill/>
              </a:ln>
              <a:solidFill>
                <a:sysClr val="windowText" lastClr="000000"/>
              </a:solidFill>
              <a:effectLst/>
              <a:uLnTx/>
              <a:uFillTx/>
              <a:latin typeface="Calibri" panose="020F0502020204030204"/>
              <a:ea typeface="+mn-ea"/>
              <a:cs typeface="+mn-cs"/>
            </a:rPr>
            <a:t>These include details of where you can access more support if you need it, or if you think there is an problem with your illustrative award.</a:t>
          </a:r>
          <a:r>
            <a:rPr kumimoji="0" lang="en-GB" sz="12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endParaRPr kumimoji="0" lang="en-GB" sz="20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2704A-6FDB-4490-AD4A-781E83F87C29}">
  <sheetPr codeName="Sheet1"/>
  <dimension ref="A2:A9"/>
  <sheetViews>
    <sheetView showGridLines="0" showRowColHeaders="0" tabSelected="1" zoomScale="85" zoomScaleNormal="85" workbookViewId="0">
      <selection activeCell="A52" sqref="A52"/>
    </sheetView>
  </sheetViews>
  <sheetFormatPr defaultColWidth="8.7109375" defaultRowHeight="15" x14ac:dyDescent="0.25"/>
  <cols>
    <col min="1" max="1" width="133.42578125" style="19" customWidth="1"/>
    <col min="2" max="16384" width="8.7109375" style="19"/>
  </cols>
  <sheetData>
    <row r="2" spans="1:1" x14ac:dyDescent="0.25">
      <c r="A2" s="18"/>
    </row>
    <row r="4" spans="1:1" x14ac:dyDescent="0.25">
      <c r="A4" s="20"/>
    </row>
    <row r="9" spans="1:1" x14ac:dyDescent="0.25">
      <c r="A9" s="20"/>
    </row>
  </sheetData>
  <sheetProtection algorithmName="SHA-512" hashValue="xZlf3d1E10w7B/rW68Y61mPqRumTEJx09g8ZiHJlvJqgkpAWzTxUZBhiVIHgQQH8DMNF/CwRjLzr78bfCgMUfQ==" saltValue="2cqUYESLqYvvltedVGrXog==" spinCount="100000" sheet="1" objects="1" scenarios="1" selectLockedCells="1" selectUnlockedCells="1"/>
  <pageMargins left="0.7" right="0.7" top="0.75" bottom="0.75" header="0.3" footer="0.3"/>
  <pageSetup paperSize="0" orientation="portrait" horizontalDpi="0" verticalDpi="0" copie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87A2C-09CB-417E-B136-61AFDE4C2C53}">
  <sheetPr codeName="Sheet2"/>
  <dimension ref="B1:J37"/>
  <sheetViews>
    <sheetView showGridLines="0" showRowColHeaders="0" zoomScaleNormal="100" workbookViewId="0">
      <selection activeCell="D8" sqref="D8"/>
    </sheetView>
  </sheetViews>
  <sheetFormatPr defaultRowHeight="15" x14ac:dyDescent="0.25"/>
  <cols>
    <col min="1" max="1" width="3.140625" customWidth="1"/>
    <col min="2" max="2" width="2.85546875" customWidth="1"/>
    <col min="3" max="3" width="36.42578125" customWidth="1"/>
    <col min="4" max="4" width="30.28515625" customWidth="1"/>
    <col min="5" max="5" width="6.140625" customWidth="1"/>
    <col min="6" max="6" width="30.28515625" customWidth="1"/>
    <col min="7" max="7" width="46" customWidth="1"/>
    <col min="8" max="8" width="3.28515625" customWidth="1"/>
  </cols>
  <sheetData>
    <row r="1" spans="2:8" ht="15.75" thickBot="1" x14ac:dyDescent="0.3"/>
    <row r="2" spans="2:8" x14ac:dyDescent="0.25">
      <c r="B2" s="8"/>
      <c r="C2" s="9"/>
      <c r="D2" s="9"/>
      <c r="E2" s="9"/>
      <c r="F2" s="9"/>
      <c r="G2" s="9"/>
      <c r="H2" s="10"/>
    </row>
    <row r="3" spans="2:8" ht="21" x14ac:dyDescent="0.35">
      <c r="B3" s="11"/>
      <c r="C3" s="82" t="s">
        <v>0</v>
      </c>
      <c r="D3" s="83"/>
      <c r="E3" s="83"/>
      <c r="F3" s="83"/>
      <c r="G3" s="83"/>
      <c r="H3" s="12"/>
    </row>
    <row r="4" spans="2:8" x14ac:dyDescent="0.25">
      <c r="B4" s="11"/>
      <c r="C4" s="80" t="s">
        <v>1</v>
      </c>
      <c r="D4" s="80"/>
      <c r="E4" s="80"/>
      <c r="F4" s="80"/>
      <c r="G4" s="80"/>
      <c r="H4" s="12"/>
    </row>
    <row r="5" spans="2:8" x14ac:dyDescent="0.25">
      <c r="B5" s="11"/>
      <c r="C5" s="21"/>
      <c r="D5" s="21"/>
      <c r="E5" s="21"/>
      <c r="F5" s="21"/>
      <c r="G5" s="21"/>
      <c r="H5" s="12"/>
    </row>
    <row r="6" spans="2:8" x14ac:dyDescent="0.25">
      <c r="B6" s="11"/>
      <c r="C6" s="22" t="s">
        <v>2</v>
      </c>
      <c r="F6" s="23"/>
      <c r="G6" s="23"/>
      <c r="H6" s="12"/>
    </row>
    <row r="7" spans="2:8" x14ac:dyDescent="0.25">
      <c r="B7" s="11"/>
      <c r="C7" s="24" t="s">
        <v>3</v>
      </c>
      <c r="D7" s="25">
        <v>0</v>
      </c>
      <c r="F7" s="26" t="s">
        <v>4</v>
      </c>
      <c r="G7" s="26"/>
      <c r="H7" s="12"/>
    </row>
    <row r="8" spans="2:8" x14ac:dyDescent="0.25">
      <c r="B8" s="11"/>
      <c r="C8" s="24" t="s">
        <v>5</v>
      </c>
      <c r="D8" s="25"/>
      <c r="F8" s="27" t="str">
        <f>IF(Calculations!R32, Constants!A7 &amp; Constants!A6, "")</f>
        <v/>
      </c>
      <c r="G8" s="27"/>
      <c r="H8" s="12"/>
    </row>
    <row r="9" spans="2:8" x14ac:dyDescent="0.25">
      <c r="B9" s="11"/>
      <c r="C9" s="40" t="s">
        <v>6</v>
      </c>
      <c r="D9" s="28">
        <v>0</v>
      </c>
      <c r="F9" s="26" t="s">
        <v>7</v>
      </c>
      <c r="G9" s="26"/>
      <c r="H9" s="12"/>
    </row>
    <row r="10" spans="2:8" ht="15.75" thickBot="1" x14ac:dyDescent="0.3">
      <c r="B10" s="11"/>
      <c r="C10" s="24" t="s">
        <v>8</v>
      </c>
      <c r="D10" s="2">
        <f>Calculations!Q32</f>
        <v>1</v>
      </c>
      <c r="H10" s="12"/>
    </row>
    <row r="11" spans="2:8" ht="15.75" thickTop="1" x14ac:dyDescent="0.25">
      <c r="B11" s="11"/>
      <c r="C11" s="24"/>
      <c r="H11" s="12"/>
    </row>
    <row r="12" spans="2:8" x14ac:dyDescent="0.25">
      <c r="B12" s="11"/>
      <c r="C12" s="24" t="s">
        <v>9</v>
      </c>
      <c r="D12" s="5"/>
      <c r="F12" s="29"/>
      <c r="G12" s="29"/>
      <c r="H12" s="12"/>
    </row>
    <row r="13" spans="2:8" x14ac:dyDescent="0.25">
      <c r="B13" s="11"/>
      <c r="H13" s="12"/>
    </row>
    <row r="14" spans="2:8" ht="14.45" customHeight="1" x14ac:dyDescent="0.25">
      <c r="B14" s="11"/>
      <c r="C14" s="81" t="str">
        <f>IF(Calculations!R32 = FALSE, "Please check your selection as this is not a valid combination of Full Time Annual Salary and Distinct Grade", "")</f>
        <v>Please check your selection as this is not a valid combination of Full Time Annual Salary and Distinct Grade</v>
      </c>
      <c r="D14" s="81"/>
      <c r="E14" s="81"/>
      <c r="F14" s="81"/>
      <c r="G14" s="81"/>
      <c r="H14" s="12"/>
    </row>
    <row r="15" spans="2:8" x14ac:dyDescent="0.25">
      <c r="B15" s="11"/>
      <c r="C15" s="81"/>
      <c r="D15" s="81"/>
      <c r="E15" s="81"/>
      <c r="F15" s="81"/>
      <c r="G15" s="81"/>
      <c r="H15" s="12"/>
    </row>
    <row r="16" spans="2:8" x14ac:dyDescent="0.25">
      <c r="B16" s="11"/>
      <c r="F16" s="37"/>
      <c r="G16" s="37"/>
      <c r="H16" s="12"/>
    </row>
    <row r="17" spans="2:10" x14ac:dyDescent="0.25">
      <c r="B17" s="11"/>
      <c r="C17" s="22" t="s">
        <v>11</v>
      </c>
      <c r="F17" s="22" t="s">
        <v>12</v>
      </c>
      <c r="G17" s="22"/>
      <c r="H17" s="12"/>
    </row>
    <row r="18" spans="2:10" x14ac:dyDescent="0.25">
      <c r="B18" s="11"/>
      <c r="C18" s="30" t="s">
        <v>13</v>
      </c>
      <c r="D18" s="4" t="str">
        <f>IF(AND(Calculations!R32,D10=1), CEILING(Calculations!BP32, 0.01), "")</f>
        <v/>
      </c>
      <c r="F18" s="4" t="str">
        <f>IF(AND(Calculations!R32,D10&lt;1), CEILING(Calculations!BP32*D10, 0.01), "")</f>
        <v/>
      </c>
      <c r="G18" s="17"/>
      <c r="H18" s="12"/>
    </row>
    <row r="19" spans="2:10" x14ac:dyDescent="0.25">
      <c r="B19" s="11"/>
      <c r="C19" s="30" t="s">
        <v>14</v>
      </c>
      <c r="D19" s="3" t="str">
        <f>IF(AND(Calculations!R32,D10=1), CEILING(Calculations!BQ32,0.01), "")</f>
        <v/>
      </c>
      <c r="F19" s="3" t="str">
        <f>IF(AND(Calculations!R32,D10&lt;1), CEILING(Calculations!BQ32*D10,0.01), "")</f>
        <v/>
      </c>
      <c r="G19" s="17"/>
      <c r="H19" s="12"/>
      <c r="I19" s="16"/>
    </row>
    <row r="20" spans="2:10" x14ac:dyDescent="0.25">
      <c r="B20" s="11"/>
      <c r="C20" s="30" t="s">
        <v>15</v>
      </c>
      <c r="D20" s="6" t="str">
        <f>IF(AND(Calculations!R32,D10=1),CEILING(Calculations!BR32, 0.01), "")</f>
        <v/>
      </c>
      <c r="F20" s="6" t="str">
        <f>IF(AND(Calculations!R32,D10&lt;1),CEILING(Calculations!BR32* D10, 0.01), "")</f>
        <v/>
      </c>
      <c r="G20" s="39"/>
      <c r="H20" s="12"/>
    </row>
    <row r="21" spans="2:10" x14ac:dyDescent="0.25">
      <c r="B21" s="11"/>
      <c r="C21" s="31" t="s">
        <v>16</v>
      </c>
      <c r="D21" s="6" t="str">
        <f>IF(AND(Calculations!R32,D10=1),SUM(D19:D20),"")</f>
        <v/>
      </c>
      <c r="E21" s="1"/>
      <c r="F21" s="6" t="str">
        <f>IF(AND(Calculations!R32,D10&lt;1),SUM(F19:F20),"")</f>
        <v/>
      </c>
      <c r="G21" s="39"/>
      <c r="H21" s="12"/>
    </row>
    <row r="22" spans="2:10" x14ac:dyDescent="0.25">
      <c r="B22" s="11"/>
      <c r="C22" s="30" t="s">
        <v>17</v>
      </c>
      <c r="D22" s="32" t="str">
        <f>IF(AND(Calculations!R32,D10=1), Calculations!BS32, "")</f>
        <v/>
      </c>
      <c r="F22" s="32" t="str">
        <f>IF(AND(Calculations!R32,D10&lt;1), Calculations!BS32, "")</f>
        <v/>
      </c>
      <c r="G22" s="7"/>
      <c r="H22" s="12"/>
    </row>
    <row r="23" spans="2:10" x14ac:dyDescent="0.25">
      <c r="B23" s="11"/>
      <c r="C23" s="41"/>
      <c r="D23" s="7"/>
      <c r="F23" s="7"/>
      <c r="G23" s="7"/>
      <c r="H23" s="12"/>
    </row>
    <row r="24" spans="2:10" x14ac:dyDescent="0.25">
      <c r="B24" s="11"/>
      <c r="C24" s="30" t="s">
        <v>18</v>
      </c>
      <c r="D24" s="84" t="str">
        <f>IF((Calculations!R32),_xlfn.XLOOKUP(D12,'Pay Ranges'!D1:D37,'Pay Ranges'!H1:H37), "")</f>
        <v/>
      </c>
      <c r="E24" s="85"/>
      <c r="F24" s="86"/>
      <c r="G24" s="7"/>
      <c r="H24" s="12"/>
    </row>
    <row r="25" spans="2:10" x14ac:dyDescent="0.25">
      <c r="B25" s="11"/>
      <c r="C25" s="30" t="s">
        <v>19</v>
      </c>
      <c r="D25" s="84" t="str">
        <f>IF((Calculations!R32),_xlfn.XLOOKUP(D12,'Pay Ranges'!D1:D37,'Pay Ranges'!I1:I37), "")</f>
        <v/>
      </c>
      <c r="E25" s="85"/>
      <c r="F25" s="86"/>
      <c r="G25" s="7"/>
      <c r="H25" s="12"/>
    </row>
    <row r="26" spans="2:10" x14ac:dyDescent="0.25">
      <c r="B26" s="11"/>
      <c r="C26" s="41"/>
      <c r="D26" s="7"/>
      <c r="F26" s="7"/>
      <c r="G26" s="7"/>
      <c r="H26" s="12"/>
    </row>
    <row r="27" spans="2:10" x14ac:dyDescent="0.25">
      <c r="B27" s="11"/>
      <c r="C27" s="79" t="str">
        <f>IF(AND(D18&gt;D24,Calculations!R32=TRUE),_xlfn.XLOOKUP(D12,'Pay Ranges'!$D$2:$D$37,'Pay Ranges'!$J$2:$J$37,""),"")</f>
        <v/>
      </c>
      <c r="D27" s="79"/>
      <c r="E27" s="79"/>
      <c r="F27" s="79"/>
      <c r="G27" s="7"/>
      <c r="H27" s="12"/>
    </row>
    <row r="28" spans="2:10" x14ac:dyDescent="0.25">
      <c r="B28" s="11"/>
      <c r="C28" s="79"/>
      <c r="D28" s="79"/>
      <c r="E28" s="79"/>
      <c r="F28" s="79"/>
      <c r="G28" s="7"/>
      <c r="H28" s="12"/>
    </row>
    <row r="29" spans="2:10" x14ac:dyDescent="0.25">
      <c r="B29" s="11"/>
      <c r="C29" s="26"/>
      <c r="H29" s="12"/>
    </row>
    <row r="30" spans="2:10" x14ac:dyDescent="0.25">
      <c r="B30" s="11"/>
      <c r="C30" s="22" t="s">
        <v>20</v>
      </c>
      <c r="H30" s="12"/>
    </row>
    <row r="31" spans="2:10" x14ac:dyDescent="0.25">
      <c r="B31" s="11"/>
      <c r="C31" s="34" t="s">
        <v>21</v>
      </c>
      <c r="D31" s="4" t="str">
        <f>IF(AND(Calculations!R32,D10=1),Calculations!O32, "")</f>
        <v/>
      </c>
      <c r="F31" s="3" t="str">
        <f>IF(AND(Calculations!R32,D10&lt;1), Calculations!O32* D10, "")</f>
        <v/>
      </c>
      <c r="G31" s="17"/>
      <c r="H31" s="12"/>
      <c r="J31" s="1"/>
    </row>
    <row r="32" spans="2:10" x14ac:dyDescent="0.25">
      <c r="B32" s="11"/>
      <c r="C32" s="34" t="s">
        <v>22</v>
      </c>
      <c r="D32" s="3" t="str">
        <f>IF(AND(Calculations!R32,D10=1),Calculations!AP32, "")</f>
        <v/>
      </c>
      <c r="F32" s="3" t="str">
        <f>IF(AND(Calculations!R32,D10&lt;1), Calculations!AP32* D10, "")</f>
        <v/>
      </c>
      <c r="G32" s="17"/>
      <c r="H32" s="12"/>
    </row>
    <row r="33" spans="2:8" x14ac:dyDescent="0.25">
      <c r="B33" s="11"/>
      <c r="C33" s="38" t="s">
        <v>23</v>
      </c>
      <c r="D33" s="3" t="str">
        <f>IF(AND(Calculations!R32,D10=1),Calculations!AR32, "")</f>
        <v/>
      </c>
      <c r="F33" s="3" t="str">
        <f>IF(AND(Calculations!R32,D10&lt;1),Calculations!AR32*D10, "")</f>
        <v/>
      </c>
      <c r="G33" s="17"/>
      <c r="H33" s="12"/>
    </row>
    <row r="34" spans="2:8" x14ac:dyDescent="0.25">
      <c r="B34" s="11"/>
      <c r="C34" s="35"/>
      <c r="D34" s="17"/>
      <c r="F34" s="33"/>
      <c r="G34" s="33"/>
      <c r="H34" s="12"/>
    </row>
    <row r="35" spans="2:8" x14ac:dyDescent="0.25">
      <c r="B35" s="11"/>
      <c r="C35" s="36" t="s">
        <v>24</v>
      </c>
      <c r="D35" s="17"/>
      <c r="H35" s="12"/>
    </row>
    <row r="36" spans="2:8" x14ac:dyDescent="0.25">
      <c r="B36" s="11"/>
      <c r="C36" s="36" t="s">
        <v>25</v>
      </c>
      <c r="D36" s="17"/>
      <c r="F36" s="33"/>
      <c r="G36" s="33"/>
      <c r="H36" s="12"/>
    </row>
    <row r="37" spans="2:8" ht="15.75" thickBot="1" x14ac:dyDescent="0.3">
      <c r="B37" s="13"/>
      <c r="C37" s="14"/>
      <c r="D37" s="14"/>
      <c r="E37" s="14"/>
      <c r="F37" s="14"/>
      <c r="G37" s="14"/>
      <c r="H37" s="15"/>
    </row>
  </sheetData>
  <sheetProtection algorithmName="SHA-512" hashValue="cX4PwJ8EFns9rB5HvrSnUkQlI/RcXXKaTbPDIDPfTEucT3oDdPJCcu28oiz3Xga2m9mEV3UGTgP52lNym9T/ew==" saltValue="A/snbTTD28zBJ5ZLSbc0CA==" spinCount="100000" sheet="1" objects="1" scenarios="1" selectLockedCells="1"/>
  <mergeCells count="6">
    <mergeCell ref="C27:F28"/>
    <mergeCell ref="C4:G4"/>
    <mergeCell ref="C14:G15"/>
    <mergeCell ref="C3:G3"/>
    <mergeCell ref="D24:F24"/>
    <mergeCell ref="D25:F25"/>
  </mergeCells>
  <dataValidations count="1">
    <dataValidation type="decimal" operator="greaterThanOrEqual" allowBlank="1" showInputMessage="1" showErrorMessage="1" sqref="D7:D8" xr:uid="{47AB2F93-81A9-414D-BD78-C038C61A8CED}">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C87AD848-6430-42F7-BC17-AB032BB7D504}">
          <x14:formula1>
            <xm:f>'Pay Ranges'!$D$2:$D$39</xm:f>
          </x14:formula1>
          <xm:sqref>D12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F3BA0-7CBC-46BF-B501-E2BDBCBC9164}">
  <sheetPr codeName="Sheet3"/>
  <dimension ref="M30:CC34"/>
  <sheetViews>
    <sheetView zoomScale="205" zoomScaleNormal="205" workbookViewId="0"/>
  </sheetViews>
  <sheetFormatPr defaultColWidth="7" defaultRowHeight="15" customHeight="1" x14ac:dyDescent="0.25"/>
  <cols>
    <col min="1" max="16384" width="7" style="62"/>
  </cols>
  <sheetData>
    <row r="30" spans="13:81" ht="15" customHeight="1" x14ac:dyDescent="0.25">
      <c r="W30" s="63"/>
      <c r="X30" s="88" t="s">
        <v>26</v>
      </c>
      <c r="Y30" s="88"/>
      <c r="Z30" s="88"/>
      <c r="AA30" s="88"/>
      <c r="AB30" s="88"/>
      <c r="AC30" s="88"/>
      <c r="AD30" s="88"/>
      <c r="AE30" s="64" t="s">
        <v>27</v>
      </c>
      <c r="AF30" s="64"/>
      <c r="AG30" s="87" t="s">
        <v>28</v>
      </c>
      <c r="AH30" s="87"/>
      <c r="AI30" s="87"/>
      <c r="AJ30" s="87"/>
      <c r="AK30" s="87" t="s">
        <v>29</v>
      </c>
      <c r="AL30" s="87"/>
      <c r="AM30" s="87"/>
      <c r="AN30" s="87"/>
      <c r="AO30" s="87" t="s">
        <v>30</v>
      </c>
      <c r="AP30" s="87"/>
      <c r="AQ30" s="87"/>
      <c r="AR30" s="87"/>
      <c r="AS30" s="87"/>
      <c r="AT30" s="87"/>
      <c r="AU30" s="87"/>
      <c r="AV30" s="87"/>
      <c r="AW30" s="87"/>
      <c r="AX30" s="87"/>
      <c r="AY30" s="87"/>
      <c r="AZ30" s="65"/>
      <c r="BA30" s="66"/>
      <c r="BB30" s="87" t="s">
        <v>31</v>
      </c>
      <c r="BC30" s="87"/>
      <c r="BD30" s="87"/>
      <c r="BE30" s="87"/>
      <c r="BF30" s="87"/>
      <c r="BG30" s="87"/>
      <c r="BH30" s="87"/>
      <c r="BI30" s="87"/>
      <c r="BJ30" s="63"/>
      <c r="BK30" s="87" t="s">
        <v>32</v>
      </c>
      <c r="BL30" s="87"/>
      <c r="BM30" s="87"/>
      <c r="BN30" s="87"/>
      <c r="BO30" s="87"/>
      <c r="BP30" s="87"/>
      <c r="BQ30" s="87"/>
      <c r="BR30" s="87"/>
      <c r="BS30" s="87"/>
      <c r="BT30" s="87" t="s">
        <v>31</v>
      </c>
      <c r="BU30" s="87"/>
      <c r="BV30" s="87"/>
      <c r="BW30" s="87"/>
      <c r="BX30" s="87"/>
      <c r="BY30" s="87"/>
      <c r="BZ30" s="63"/>
      <c r="CA30" s="63"/>
      <c r="CB30" s="63"/>
      <c r="CC30" s="63"/>
    </row>
    <row r="31" spans="13:81" s="63" customFormat="1" ht="15" customHeight="1" x14ac:dyDescent="0.25">
      <c r="M31" s="67" t="s">
        <v>33</v>
      </c>
      <c r="N31" s="67" t="s">
        <v>34</v>
      </c>
      <c r="O31" s="67" t="s">
        <v>35</v>
      </c>
      <c r="P31" s="67" t="s">
        <v>36</v>
      </c>
      <c r="Q31" s="67" t="s">
        <v>37</v>
      </c>
      <c r="R31" s="67" t="s">
        <v>38</v>
      </c>
      <c r="S31" s="67" t="s">
        <v>39</v>
      </c>
      <c r="T31" s="67" t="s">
        <v>40</v>
      </c>
      <c r="U31" s="67" t="s">
        <v>41</v>
      </c>
      <c r="W31" s="67" t="s">
        <v>42</v>
      </c>
      <c r="X31" s="67" t="s">
        <v>43</v>
      </c>
      <c r="Y31" s="67" t="s">
        <v>44</v>
      </c>
      <c r="Z31" s="67" t="s">
        <v>45</v>
      </c>
      <c r="AA31" s="67" t="s">
        <v>46</v>
      </c>
      <c r="AB31" s="67" t="s">
        <v>47</v>
      </c>
      <c r="AC31" s="67" t="s">
        <v>48</v>
      </c>
      <c r="AD31" s="67" t="s">
        <v>34</v>
      </c>
      <c r="AE31" s="67" t="s">
        <v>49</v>
      </c>
      <c r="AF31" s="67" t="s">
        <v>50</v>
      </c>
      <c r="AG31" s="67" t="s">
        <v>51</v>
      </c>
      <c r="AH31" s="67" t="s">
        <v>52</v>
      </c>
      <c r="AI31" s="67" t="s">
        <v>53</v>
      </c>
      <c r="AJ31" s="67" t="s">
        <v>54</v>
      </c>
      <c r="AK31" s="67" t="s">
        <v>55</v>
      </c>
      <c r="AL31" s="67" t="s">
        <v>56</v>
      </c>
      <c r="AM31" s="67" t="s">
        <v>57</v>
      </c>
      <c r="AN31" s="67" t="s">
        <v>58</v>
      </c>
      <c r="AO31" s="54" t="s">
        <v>59</v>
      </c>
      <c r="AP31" s="54" t="s">
        <v>60</v>
      </c>
      <c r="AQ31" s="54" t="s">
        <v>61</v>
      </c>
      <c r="AR31" s="54" t="s">
        <v>62</v>
      </c>
      <c r="AS31" s="54" t="s">
        <v>63</v>
      </c>
      <c r="AT31" s="54" t="s">
        <v>64</v>
      </c>
      <c r="AU31" s="54" t="s">
        <v>65</v>
      </c>
      <c r="AV31" s="54" t="s">
        <v>66</v>
      </c>
      <c r="AW31" s="54" t="s">
        <v>67</v>
      </c>
      <c r="AX31" s="68" t="s">
        <v>68</v>
      </c>
      <c r="AY31" s="68" t="s">
        <v>69</v>
      </c>
      <c r="AZ31" s="69" t="s">
        <v>70</v>
      </c>
      <c r="BA31" s="67" t="s">
        <v>71</v>
      </c>
      <c r="BB31" s="67" t="s">
        <v>72</v>
      </c>
      <c r="BC31" s="67" t="s">
        <v>73</v>
      </c>
      <c r="BD31" s="67" t="s">
        <v>74</v>
      </c>
      <c r="BE31" s="67" t="s">
        <v>75</v>
      </c>
      <c r="BF31" s="67" t="s">
        <v>76</v>
      </c>
      <c r="BG31" s="67" t="s">
        <v>77</v>
      </c>
      <c r="BH31" s="67" t="s">
        <v>78</v>
      </c>
      <c r="BI31" s="67" t="s">
        <v>79</v>
      </c>
      <c r="BJ31" s="67" t="s">
        <v>80</v>
      </c>
      <c r="BK31" s="67" t="s">
        <v>81</v>
      </c>
      <c r="BL31" s="67" t="s">
        <v>82</v>
      </c>
      <c r="BM31" s="67" t="s">
        <v>83</v>
      </c>
      <c r="BN31" s="67" t="s">
        <v>84</v>
      </c>
      <c r="BO31" s="67" t="s">
        <v>85</v>
      </c>
      <c r="BP31" s="67" t="s">
        <v>86</v>
      </c>
      <c r="BQ31" s="70" t="s">
        <v>87</v>
      </c>
      <c r="BR31" s="70" t="s">
        <v>88</v>
      </c>
      <c r="BS31" s="67" t="s">
        <v>89</v>
      </c>
      <c r="BT31" s="67" t="s">
        <v>71</v>
      </c>
      <c r="BU31" s="67" t="s">
        <v>72</v>
      </c>
      <c r="BV31" s="67" t="s">
        <v>73</v>
      </c>
      <c r="BW31" s="67" t="s">
        <v>74</v>
      </c>
      <c r="BX31" s="67" t="s">
        <v>75</v>
      </c>
      <c r="BY31" s="67" t="s">
        <v>76</v>
      </c>
      <c r="BZ31" s="55" t="s">
        <v>90</v>
      </c>
      <c r="CA31" s="67" t="s">
        <v>91</v>
      </c>
      <c r="CB31" s="71" t="s">
        <v>92</v>
      </c>
    </row>
    <row r="32" spans="13:81" ht="15" customHeight="1" x14ac:dyDescent="0.25">
      <c r="M32" s="62">
        <f>'Pay Calculator'!D12</f>
        <v>0</v>
      </c>
      <c r="N32" s="56">
        <f>'Pay Calculator'!D8</f>
        <v>0</v>
      </c>
      <c r="O32" s="72">
        <f>'Pay Calculator'!D9</f>
        <v>0</v>
      </c>
      <c r="P32" s="62">
        <f>'Pay Calculator'!D7</f>
        <v>0</v>
      </c>
      <c r="Q32" s="62">
        <f>IF(P32=0,1,IF(N32=0,0,P32/N32))</f>
        <v>1</v>
      </c>
      <c r="R32" s="73" t="b">
        <f>IF(ISNA(INDEX( 'Pay Ranges'!$D$2:$I$37,MATCH(S32,'Pay Ranges'!$D$2:$D$37,0),1)),
 FALSE,
 IF(N32 &lt;0.1, FALSE, TRUE)
)</f>
        <v>0</v>
      </c>
      <c r="S32" s="74">
        <f>M32</f>
        <v>0</v>
      </c>
      <c r="T32" s="74" t="b">
        <f>ISNUMBER(SEARCH("Level", S32))</f>
        <v>0</v>
      </c>
      <c r="U32" s="74" t="e">
        <f>_xlfn.XLOOKUP(S32,'Pay Ranges'!D2:D37,'Pay Ranges'!E2:E37)</f>
        <v>#N/A</v>
      </c>
      <c r="W32" s="62" t="s">
        <v>93</v>
      </c>
      <c r="X32" s="62" t="s">
        <v>93</v>
      </c>
      <c r="Y32" s="62">
        <f>Q32</f>
        <v>1</v>
      </c>
      <c r="Z32" s="62" t="s">
        <v>93</v>
      </c>
      <c r="AD32" s="57">
        <f>N32</f>
        <v>0</v>
      </c>
      <c r="AE32" s="57">
        <f>O32*Q32</f>
        <v>0</v>
      </c>
      <c r="AF32" s="58">
        <f>O32</f>
        <v>0</v>
      </c>
      <c r="AG32" s="57" t="e">
        <f>_xlfn.XLOOKUP(U32,'Pay Ranges'!D2:D37,'Pay Ranges'!F2:F37)</f>
        <v>#N/A</v>
      </c>
      <c r="AH32" s="57" t="e">
        <f>_xlfn.XLOOKUP(U32,'Pay Ranges'!D2:D37,'Pay Ranges'!G2:G37)</f>
        <v>#N/A</v>
      </c>
      <c r="AI32" s="57" t="e">
        <f>IF(T32=TRUE,_xlfn.XLOOKUP(S32,'Pay Ranges'!D2:D37,'Pay Ranges'!F2:F37),_xlfn.XLOOKUP(U32,'Pay Ranges'!D2:D37,'Pay Ranges'!F2:F37))</f>
        <v>#N/A</v>
      </c>
      <c r="AJ32" s="57" t="e">
        <f>IF(T32=TRUE,_xlfn.XLOOKUP(S32,'Pay Ranges'!D2:D37,'Pay Ranges'!G2:G37),_xlfn.XLOOKUP(U32,'Pay Ranges'!D2:D37,'Pay Ranges'!G2:G37))</f>
        <v>#N/A</v>
      </c>
      <c r="AK32" s="57" t="e">
        <f>_xlfn.XLOOKUP(U32,'Pay Ranges'!D2:D37,'Pay Ranges'!H2:H37)</f>
        <v>#N/A</v>
      </c>
      <c r="AL32" s="57" t="e">
        <f>_xlfn.XLOOKUP(U32,'Pay Ranges'!D2:D37,'Pay Ranges'!I2:I37)</f>
        <v>#N/A</v>
      </c>
      <c r="AM32" s="57" t="e">
        <f>IF(T32=TRUE,_xlfn.XLOOKUP(S32,'Pay Ranges'!D2:D37,'Pay Ranges'!H2:H37),_xlfn.XLOOKUP(U32,'Pay Ranges'!D2:D37,'Pay Ranges'!H2:H37))</f>
        <v>#N/A</v>
      </c>
      <c r="AN32" s="57" t="e">
        <f>IF(T32=TRUE,_xlfn.XLOOKUP(S32,'Pay Ranges'!D2:D37,'Pay Ranges'!I2:I37),_xlfn.XLOOKUP(U32,'Pay Ranges'!D2:D37,'Pay Ranges'!I2:I37))</f>
        <v>#N/A</v>
      </c>
      <c r="AO32" s="58">
        <f>AD32+AF32</f>
        <v>0</v>
      </c>
      <c r="AP32" s="58">
        <f>IF(AE32=0,0, MAX(AD32+AF32-AN32,0))</f>
        <v>0</v>
      </c>
      <c r="AQ32" s="58">
        <f>AD32+AF32-AP32</f>
        <v>0</v>
      </c>
      <c r="AR32" s="58">
        <f>ABS(AP32-AF32)</f>
        <v>0</v>
      </c>
      <c r="AS32" s="58" t="e">
        <f>(AG32+((AH32-AG32)*Constants!B2))*Constants!B3</f>
        <v>#N/A</v>
      </c>
      <c r="AT32" s="59" t="e">
        <f xml:space="preserve"> AD32+AS32</f>
        <v>#N/A</v>
      </c>
      <c r="AU32" s="75" t="e">
        <f>MAX(AT32,AM32)</f>
        <v>#N/A</v>
      </c>
      <c r="AV32" s="58"/>
      <c r="AW32" s="58" t="e">
        <f>MAX(MIN(AU32+AR32+AV32, AL32),AD32)</f>
        <v>#N/A</v>
      </c>
      <c r="AX32" s="58" t="e">
        <f>AW32-AR32-AD32</f>
        <v>#N/A</v>
      </c>
      <c r="AY32" s="58" t="e">
        <f>(AU32-AT32)+AV32-AX32+AS32</f>
        <v>#N/A</v>
      </c>
      <c r="AZ32" s="57" t="e">
        <f>IF(AK32&lt;$D$52,(AK32-AD32)*Y32,(MAX($D$52-AD32,0)*Y32))</f>
        <v>#N/A</v>
      </c>
      <c r="BA32" s="76" t="e">
        <f>AW32+AP32</f>
        <v>#N/A</v>
      </c>
      <c r="BB32" s="76" t="e">
        <f>BA32*Y32</f>
        <v>#N/A</v>
      </c>
      <c r="BC32" s="57"/>
      <c r="BD32" s="57"/>
      <c r="BE32" s="57" t="e">
        <f>AY32*Y32</f>
        <v>#N/A</v>
      </c>
      <c r="BF32" s="57" t="e">
        <f>SUM(BB32:BE32)</f>
        <v>#N/A</v>
      </c>
      <c r="BG32" s="76" t="e">
        <f>AW32-AD32</f>
        <v>#N/A</v>
      </c>
      <c r="BH32" s="60" t="e">
        <f>(AX32+AY32)/AD32</f>
        <v>#N/A</v>
      </c>
      <c r="BI32" s="61" t="str">
        <f>IFERROR((AD32-MAX(AI32,AG32))/(AJ32-MAX(AI32,AG32)), "SPOT")</f>
        <v>SPOT</v>
      </c>
      <c r="BJ32" s="61" t="str">
        <f>IFERROR((AW32-MAX(AM32,AK32))/(AN32-MAX(AM32,AK32)),"SPOT")</f>
        <v>SPOT</v>
      </c>
      <c r="BK32" s="45">
        <v>5.5E-2</v>
      </c>
      <c r="BL32" s="62" t="e">
        <f>IF(BK32="NA","NA",MIN(AD32*BK32,AS32))</f>
        <v>#N/A</v>
      </c>
      <c r="BM32" s="62" t="e">
        <f>IF(BL32="NA",AT32,AD32+BL32)</f>
        <v>#N/A</v>
      </c>
      <c r="BN32" s="75" t="e">
        <f>MAX(BM32,AM32)</f>
        <v>#N/A</v>
      </c>
      <c r="BO32" s="62">
        <v>0</v>
      </c>
      <c r="BP32" s="77" t="e">
        <f>MAX(MIN(AR32+BO32+BN32,AL32), AD32)</f>
        <v>#N/A</v>
      </c>
      <c r="BQ32" s="78" t="e">
        <f>BP32-AR32-AD32</f>
        <v>#N/A</v>
      </c>
      <c r="BR32" s="78" t="e">
        <f>IF(BK32= "NA",AS32+(BN32-BM32)+BO32-BQ32,BL32+(BN32-BM32)+BO32-BQ32)</f>
        <v>#N/A</v>
      </c>
      <c r="BS32" s="60" t="e">
        <f>(BQ32+BR32)/AD32</f>
        <v>#N/A</v>
      </c>
      <c r="BT32" s="77" t="e">
        <f>BP32+AP32</f>
        <v>#N/A</v>
      </c>
      <c r="BU32" s="76" t="e">
        <f>BT32*Y32</f>
        <v>#N/A</v>
      </c>
      <c r="BV32" s="57"/>
      <c r="BW32" s="57"/>
      <c r="BX32" s="57" t="e">
        <f>BR32*Y32</f>
        <v>#N/A</v>
      </c>
      <c r="BY32" s="57" t="e">
        <f t="shared" ref="BY32" si="0">SUM(BU32:BX32)</f>
        <v>#N/A</v>
      </c>
      <c r="BZ32" s="57" t="e">
        <f>BP32-AW32</f>
        <v>#N/A</v>
      </c>
      <c r="CA32" s="77" t="e">
        <f>BX32-BE32</f>
        <v>#N/A</v>
      </c>
      <c r="CB32" s="77" t="e">
        <f>BQ32-AX32</f>
        <v>#N/A</v>
      </c>
    </row>
    <row r="34" s="62" customFormat="1" ht="15" customHeight="1" x14ac:dyDescent="0.25"/>
  </sheetData>
  <mergeCells count="8">
    <mergeCell ref="BK30:BS30"/>
    <mergeCell ref="BT30:BY30"/>
    <mergeCell ref="X30:AD30"/>
    <mergeCell ref="AG30:AJ30"/>
    <mergeCell ref="AK30:AN30"/>
    <mergeCell ref="AO30:AY30"/>
    <mergeCell ref="BB30:BF30"/>
    <mergeCell ref="BG30:BI30"/>
  </mergeCells>
  <pageMargins left="0.7" right="0.7" top="0.75" bottom="0.75" header="0.3" footer="0.3"/>
  <pageSetup paperSize="9" orientation="portrait" r:id="rId1"/>
  <ignoredErrors>
    <ignoredError sqref="U32 AG32:AN32 AS32:AU32" evalErro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06E9D-BC23-4FE9-A392-112B659EE8D1}">
  <sheetPr codeName="Sheet5"/>
  <dimension ref="A1:L72"/>
  <sheetViews>
    <sheetView zoomScale="205" zoomScaleNormal="205" workbookViewId="0">
      <selection activeCell="D35" sqref="D35"/>
    </sheetView>
  </sheetViews>
  <sheetFormatPr defaultColWidth="8.42578125" defaultRowHeight="11.25" customHeight="1" x14ac:dyDescent="0.25"/>
  <cols>
    <col min="1" max="5" width="8.42578125" style="42"/>
    <col min="6" max="7" width="8.42578125" style="44"/>
    <col min="8" max="16384" width="8.42578125" style="42"/>
  </cols>
  <sheetData>
    <row r="1" spans="1:12" ht="11.25" customHeight="1" x14ac:dyDescent="0.25">
      <c r="A1" s="46" t="s">
        <v>94</v>
      </c>
      <c r="B1" s="46" t="s">
        <v>95</v>
      </c>
      <c r="C1" s="46" t="s">
        <v>96</v>
      </c>
      <c r="D1" s="46" t="s">
        <v>97</v>
      </c>
      <c r="E1" s="42" t="s">
        <v>98</v>
      </c>
      <c r="F1" s="47" t="s">
        <v>99</v>
      </c>
      <c r="G1" s="47" t="s">
        <v>100</v>
      </c>
      <c r="H1" s="48" t="s">
        <v>101</v>
      </c>
      <c r="I1" s="48" t="s">
        <v>102</v>
      </c>
      <c r="J1" s="42" t="s">
        <v>103</v>
      </c>
    </row>
    <row r="2" spans="1:12" ht="11.25" customHeight="1" x14ac:dyDescent="0.25">
      <c r="A2" s="42" t="s">
        <v>104</v>
      </c>
      <c r="B2" s="42" t="s">
        <v>105</v>
      </c>
      <c r="C2" s="42" t="s">
        <v>106</v>
      </c>
      <c r="D2" s="42" t="s">
        <v>107</v>
      </c>
      <c r="E2" s="42" t="s">
        <v>107</v>
      </c>
      <c r="F2" s="44">
        <v>70303</v>
      </c>
      <c r="G2" s="44">
        <v>80370</v>
      </c>
      <c r="H2" s="44">
        <v>73115</v>
      </c>
      <c r="I2" s="44">
        <v>83585</v>
      </c>
      <c r="J2" s="42" t="s">
        <v>108</v>
      </c>
    </row>
    <row r="3" spans="1:12" ht="11.25" customHeight="1" x14ac:dyDescent="0.25">
      <c r="A3" s="42" t="s">
        <v>104</v>
      </c>
      <c r="B3" s="42" t="s">
        <v>105</v>
      </c>
      <c r="C3" s="42" t="s">
        <v>109</v>
      </c>
      <c r="D3" s="49" t="s">
        <v>110</v>
      </c>
      <c r="E3" s="42" t="s">
        <v>107</v>
      </c>
      <c r="F3" s="44">
        <v>70303</v>
      </c>
      <c r="G3" s="44">
        <v>79800</v>
      </c>
      <c r="H3" s="44">
        <v>73115</v>
      </c>
      <c r="I3" s="44">
        <v>79800</v>
      </c>
      <c r="J3" s="42" t="s">
        <v>108</v>
      </c>
    </row>
    <row r="4" spans="1:12" ht="11.25" customHeight="1" x14ac:dyDescent="0.25">
      <c r="A4" s="42" t="s">
        <v>104</v>
      </c>
      <c r="B4" s="42" t="s">
        <v>105</v>
      </c>
      <c r="C4" s="42" t="s">
        <v>111</v>
      </c>
      <c r="D4" s="49" t="s">
        <v>112</v>
      </c>
      <c r="E4" s="42" t="s">
        <v>107</v>
      </c>
      <c r="F4" s="44">
        <v>70303</v>
      </c>
      <c r="G4" s="44">
        <v>83600</v>
      </c>
      <c r="H4" s="44">
        <v>73115</v>
      </c>
      <c r="I4" s="44">
        <v>83600</v>
      </c>
      <c r="J4" s="42" t="s">
        <v>108</v>
      </c>
      <c r="L4" s="50"/>
    </row>
    <row r="5" spans="1:12" ht="11.25" customHeight="1" x14ac:dyDescent="0.25">
      <c r="A5" s="42" t="s">
        <v>104</v>
      </c>
      <c r="B5" s="42" t="s">
        <v>105</v>
      </c>
      <c r="C5" s="42" t="s">
        <v>113</v>
      </c>
      <c r="D5" s="49" t="s">
        <v>114</v>
      </c>
      <c r="E5" s="42" t="s">
        <v>107</v>
      </c>
      <c r="F5" s="44">
        <v>70303</v>
      </c>
      <c r="G5" s="44">
        <v>87400</v>
      </c>
      <c r="H5" s="44">
        <v>73115</v>
      </c>
      <c r="I5" s="44">
        <v>87400</v>
      </c>
      <c r="J5" s="42" t="s">
        <v>108</v>
      </c>
      <c r="L5" s="50"/>
    </row>
    <row r="6" spans="1:12" ht="11.25" customHeight="1" x14ac:dyDescent="0.25">
      <c r="A6" s="42" t="s">
        <v>104</v>
      </c>
      <c r="B6" s="42" t="s">
        <v>115</v>
      </c>
      <c r="C6" s="42" t="s">
        <v>106</v>
      </c>
      <c r="D6" s="49" t="s">
        <v>116</v>
      </c>
      <c r="E6" s="42" t="s">
        <v>116</v>
      </c>
      <c r="F6" s="44">
        <v>66314</v>
      </c>
      <c r="G6" s="44">
        <v>75810</v>
      </c>
      <c r="H6" s="44">
        <v>68967</v>
      </c>
      <c r="I6" s="44">
        <v>78842</v>
      </c>
      <c r="J6" s="42" t="s">
        <v>108</v>
      </c>
      <c r="L6" s="50"/>
    </row>
    <row r="7" spans="1:12" ht="11.25" customHeight="1" x14ac:dyDescent="0.25">
      <c r="A7" s="42" t="s">
        <v>104</v>
      </c>
      <c r="B7" s="42" t="s">
        <v>115</v>
      </c>
      <c r="C7" s="42" t="s">
        <v>109</v>
      </c>
      <c r="D7" s="49" t="s">
        <v>117</v>
      </c>
      <c r="E7" s="42" t="s">
        <v>116</v>
      </c>
      <c r="F7" s="44">
        <v>66314</v>
      </c>
      <c r="G7" s="44">
        <v>75600</v>
      </c>
      <c r="H7" s="44">
        <v>68967</v>
      </c>
      <c r="I7" s="44">
        <v>75600</v>
      </c>
      <c r="J7" s="42" t="s">
        <v>108</v>
      </c>
      <c r="L7" s="50"/>
    </row>
    <row r="8" spans="1:12" ht="11.25" customHeight="1" x14ac:dyDescent="0.25">
      <c r="A8" s="42" t="s">
        <v>104</v>
      </c>
      <c r="B8" s="42" t="s">
        <v>115</v>
      </c>
      <c r="C8" s="42" t="s">
        <v>111</v>
      </c>
      <c r="D8" s="49" t="s">
        <v>118</v>
      </c>
      <c r="E8" s="42" t="s">
        <v>116</v>
      </c>
      <c r="F8" s="44">
        <v>66314</v>
      </c>
      <c r="G8" s="44">
        <v>79200</v>
      </c>
      <c r="H8" s="44">
        <v>68967</v>
      </c>
      <c r="I8" s="44">
        <v>79200</v>
      </c>
      <c r="J8" s="42" t="s">
        <v>108</v>
      </c>
      <c r="L8" s="50"/>
    </row>
    <row r="9" spans="1:12" ht="11.25" customHeight="1" x14ac:dyDescent="0.25">
      <c r="A9" s="42" t="s">
        <v>104</v>
      </c>
      <c r="B9" s="42" t="s">
        <v>115</v>
      </c>
      <c r="C9" s="42" t="s">
        <v>113</v>
      </c>
      <c r="D9" s="49" t="s">
        <v>119</v>
      </c>
      <c r="E9" s="42" t="s">
        <v>116</v>
      </c>
      <c r="F9" s="44">
        <v>66314</v>
      </c>
      <c r="G9" s="44">
        <v>82200</v>
      </c>
      <c r="H9" s="44">
        <v>68967</v>
      </c>
      <c r="I9" s="44">
        <v>82200</v>
      </c>
      <c r="J9" s="42" t="s">
        <v>108</v>
      </c>
      <c r="L9" s="50"/>
    </row>
    <row r="10" spans="1:12" ht="11.25" customHeight="1" x14ac:dyDescent="0.25">
      <c r="A10" s="42" t="s">
        <v>120</v>
      </c>
      <c r="B10" s="42" t="s">
        <v>105</v>
      </c>
      <c r="C10" s="42" t="s">
        <v>106</v>
      </c>
      <c r="D10" s="49" t="s">
        <v>121</v>
      </c>
      <c r="E10" s="42" t="s">
        <v>121</v>
      </c>
      <c r="F10" s="44">
        <v>58847</v>
      </c>
      <c r="G10" s="44">
        <v>66670</v>
      </c>
      <c r="H10" s="44">
        <v>61201</v>
      </c>
      <c r="I10" s="44">
        <v>69338</v>
      </c>
      <c r="J10" s="42" t="s">
        <v>108</v>
      </c>
      <c r="L10" s="50"/>
    </row>
    <row r="11" spans="1:12" ht="11.25" customHeight="1" x14ac:dyDescent="0.25">
      <c r="A11" s="42" t="s">
        <v>120</v>
      </c>
      <c r="B11" s="42" t="s">
        <v>105</v>
      </c>
      <c r="C11" s="42" t="s">
        <v>109</v>
      </c>
      <c r="D11" s="49" t="s">
        <v>122</v>
      </c>
      <c r="E11" s="42" t="s">
        <v>121</v>
      </c>
      <c r="F11" s="44">
        <v>58847</v>
      </c>
      <c r="G11" s="44">
        <v>66700</v>
      </c>
      <c r="H11" s="44">
        <v>61201</v>
      </c>
      <c r="I11" s="44">
        <v>66700</v>
      </c>
      <c r="J11" s="42" t="s">
        <v>108</v>
      </c>
      <c r="L11" s="50"/>
    </row>
    <row r="12" spans="1:12" ht="11.25" customHeight="1" x14ac:dyDescent="0.25">
      <c r="A12" s="42" t="s">
        <v>120</v>
      </c>
      <c r="B12" s="42" t="s">
        <v>105</v>
      </c>
      <c r="C12" s="42" t="s">
        <v>111</v>
      </c>
      <c r="D12" s="49" t="s">
        <v>123</v>
      </c>
      <c r="E12" s="42" t="s">
        <v>121</v>
      </c>
      <c r="F12" s="44">
        <v>58847</v>
      </c>
      <c r="G12" s="44">
        <v>69900</v>
      </c>
      <c r="H12" s="44">
        <v>61201</v>
      </c>
      <c r="I12" s="44">
        <v>69900</v>
      </c>
      <c r="J12" s="42" t="s">
        <v>108</v>
      </c>
      <c r="L12" s="50"/>
    </row>
    <row r="13" spans="1:12" ht="11.25" customHeight="1" x14ac:dyDescent="0.25">
      <c r="A13" s="42" t="s">
        <v>120</v>
      </c>
      <c r="B13" s="42" t="s">
        <v>105</v>
      </c>
      <c r="C13" s="42" t="s">
        <v>113</v>
      </c>
      <c r="D13" s="49" t="s">
        <v>124</v>
      </c>
      <c r="E13" s="42" t="s">
        <v>121</v>
      </c>
      <c r="F13" s="44">
        <v>58847</v>
      </c>
      <c r="G13" s="44">
        <v>73000</v>
      </c>
      <c r="H13" s="44">
        <v>61201</v>
      </c>
      <c r="I13" s="44">
        <v>73000</v>
      </c>
      <c r="J13" s="42" t="s">
        <v>108</v>
      </c>
      <c r="L13" s="50"/>
    </row>
    <row r="14" spans="1:12" ht="11.25" customHeight="1" x14ac:dyDescent="0.25">
      <c r="A14" s="42" t="s">
        <v>120</v>
      </c>
      <c r="B14" s="42" t="s">
        <v>115</v>
      </c>
      <c r="C14" s="42" t="s">
        <v>106</v>
      </c>
      <c r="D14" s="49" t="s">
        <v>125</v>
      </c>
      <c r="E14" s="42" t="s">
        <v>125</v>
      </c>
      <c r="F14" s="44">
        <v>54358</v>
      </c>
      <c r="G14" s="44">
        <v>61585</v>
      </c>
      <c r="H14" s="44">
        <v>56532</v>
      </c>
      <c r="I14" s="44">
        <v>64048</v>
      </c>
      <c r="J14" s="42" t="s">
        <v>108</v>
      </c>
      <c r="L14" s="50"/>
    </row>
    <row r="15" spans="1:12" ht="11.25" customHeight="1" x14ac:dyDescent="0.25">
      <c r="A15" s="42" t="s">
        <v>120</v>
      </c>
      <c r="B15" s="42" t="s">
        <v>115</v>
      </c>
      <c r="C15" s="42" t="s">
        <v>109</v>
      </c>
      <c r="D15" s="49" t="s">
        <v>126</v>
      </c>
      <c r="E15" s="42" t="s">
        <v>125</v>
      </c>
      <c r="F15" s="44">
        <v>54358</v>
      </c>
      <c r="G15" s="44">
        <v>62000</v>
      </c>
      <c r="H15" s="44">
        <v>56532</v>
      </c>
      <c r="I15" s="44">
        <v>62000</v>
      </c>
      <c r="J15" s="42" t="s">
        <v>108</v>
      </c>
      <c r="L15" s="50"/>
    </row>
    <row r="16" spans="1:12" ht="11.25" customHeight="1" x14ac:dyDescent="0.25">
      <c r="A16" s="42" t="s">
        <v>120</v>
      </c>
      <c r="B16" s="42" t="s">
        <v>115</v>
      </c>
      <c r="C16" s="42" t="s">
        <v>111</v>
      </c>
      <c r="D16" s="49" t="s">
        <v>127</v>
      </c>
      <c r="E16" s="42" t="s">
        <v>125</v>
      </c>
      <c r="F16" s="44">
        <v>54358</v>
      </c>
      <c r="G16" s="44">
        <v>64900</v>
      </c>
      <c r="H16" s="44">
        <v>56532</v>
      </c>
      <c r="I16" s="44">
        <v>64900</v>
      </c>
      <c r="J16" s="42" t="s">
        <v>108</v>
      </c>
      <c r="L16" s="50"/>
    </row>
    <row r="17" spans="1:12" ht="11.25" customHeight="1" x14ac:dyDescent="0.25">
      <c r="A17" s="42" t="s">
        <v>120</v>
      </c>
      <c r="B17" s="42" t="s">
        <v>115</v>
      </c>
      <c r="C17" s="42" t="s">
        <v>113</v>
      </c>
      <c r="D17" s="49" t="s">
        <v>128</v>
      </c>
      <c r="E17" s="42" t="s">
        <v>125</v>
      </c>
      <c r="F17" s="44">
        <v>54358</v>
      </c>
      <c r="G17" s="44">
        <v>67900</v>
      </c>
      <c r="H17" s="44">
        <v>56532</v>
      </c>
      <c r="I17" s="44">
        <v>67900</v>
      </c>
      <c r="J17" s="42" t="s">
        <v>108</v>
      </c>
      <c r="L17" s="50"/>
    </row>
    <row r="18" spans="1:12" ht="11.25" customHeight="1" x14ac:dyDescent="0.25">
      <c r="A18" s="42" t="s">
        <v>129</v>
      </c>
      <c r="B18" s="42" t="s">
        <v>105</v>
      </c>
      <c r="C18" s="42" t="s">
        <v>106</v>
      </c>
      <c r="D18" s="49" t="s">
        <v>130</v>
      </c>
      <c r="E18" s="42" t="s">
        <v>130</v>
      </c>
      <c r="F18" s="44">
        <v>45824</v>
      </c>
      <c r="G18" s="44">
        <v>50039</v>
      </c>
      <c r="H18" s="44">
        <v>47657</v>
      </c>
      <c r="I18" s="44">
        <v>52040</v>
      </c>
      <c r="J18" s="42" t="s">
        <v>108</v>
      </c>
      <c r="L18" s="50"/>
    </row>
    <row r="19" spans="1:12" ht="11.25" customHeight="1" x14ac:dyDescent="0.25">
      <c r="A19" s="42" t="s">
        <v>129</v>
      </c>
      <c r="B19" s="42" t="s">
        <v>105</v>
      </c>
      <c r="C19" s="42" t="s">
        <v>109</v>
      </c>
      <c r="D19" s="49" t="s">
        <v>131</v>
      </c>
      <c r="E19" s="42" t="s">
        <v>130</v>
      </c>
      <c r="F19" s="44">
        <v>45824</v>
      </c>
      <c r="G19" s="44">
        <v>49919</v>
      </c>
      <c r="H19" s="44">
        <v>47657</v>
      </c>
      <c r="I19" s="44">
        <v>49919</v>
      </c>
      <c r="J19" s="42" t="s">
        <v>108</v>
      </c>
      <c r="L19" s="50"/>
    </row>
    <row r="20" spans="1:12" ht="11.25" customHeight="1" x14ac:dyDescent="0.25">
      <c r="A20" s="42" t="s">
        <v>129</v>
      </c>
      <c r="B20" s="42" t="s">
        <v>105</v>
      </c>
      <c r="C20" s="42" t="s">
        <v>111</v>
      </c>
      <c r="D20" s="49" t="s">
        <v>132</v>
      </c>
      <c r="E20" s="42" t="s">
        <v>130</v>
      </c>
      <c r="F20" s="44">
        <v>45824</v>
      </c>
      <c r="G20" s="44">
        <v>52248</v>
      </c>
      <c r="H20" s="44">
        <v>47657</v>
      </c>
      <c r="I20" s="44">
        <v>52248</v>
      </c>
      <c r="J20" s="42" t="s">
        <v>108</v>
      </c>
      <c r="L20" s="50"/>
    </row>
    <row r="21" spans="1:12" ht="11.25" customHeight="1" x14ac:dyDescent="0.25">
      <c r="A21" s="42" t="s">
        <v>129</v>
      </c>
      <c r="B21" s="42" t="s">
        <v>105</v>
      </c>
      <c r="C21" s="42" t="s">
        <v>113</v>
      </c>
      <c r="D21" s="49" t="s">
        <v>133</v>
      </c>
      <c r="E21" s="42" t="s">
        <v>130</v>
      </c>
      <c r="F21" s="44">
        <v>45824</v>
      </c>
      <c r="G21" s="44">
        <v>54575</v>
      </c>
      <c r="H21" s="44">
        <v>47657</v>
      </c>
      <c r="I21" s="44">
        <v>54575</v>
      </c>
      <c r="J21" s="42" t="s">
        <v>108</v>
      </c>
      <c r="L21" s="50"/>
    </row>
    <row r="22" spans="1:12" ht="11.25" customHeight="1" x14ac:dyDescent="0.25">
      <c r="A22" s="42" t="s">
        <v>129</v>
      </c>
      <c r="B22" s="42" t="s">
        <v>115</v>
      </c>
      <c r="C22" s="42" t="s">
        <v>106</v>
      </c>
      <c r="D22" s="49" t="s">
        <v>134</v>
      </c>
      <c r="E22" s="42" t="s">
        <v>134</v>
      </c>
      <c r="F22" s="44">
        <v>39868</v>
      </c>
      <c r="G22" s="44">
        <v>43535</v>
      </c>
      <c r="H22" s="44">
        <v>41463</v>
      </c>
      <c r="I22" s="44">
        <v>45276</v>
      </c>
      <c r="J22" s="42" t="s">
        <v>108</v>
      </c>
      <c r="L22" s="50"/>
    </row>
    <row r="23" spans="1:12" ht="11.25" customHeight="1" x14ac:dyDescent="0.25">
      <c r="A23" s="42" t="s">
        <v>129</v>
      </c>
      <c r="B23" s="42" t="s">
        <v>115</v>
      </c>
      <c r="C23" s="42" t="s">
        <v>109</v>
      </c>
      <c r="D23" s="49" t="s">
        <v>135</v>
      </c>
      <c r="E23" s="42" t="s">
        <v>134</v>
      </c>
      <c r="F23" s="44">
        <v>39868</v>
      </c>
      <c r="G23" s="44">
        <v>43098</v>
      </c>
      <c r="H23" s="44">
        <v>41463</v>
      </c>
      <c r="I23" s="44">
        <v>43098</v>
      </c>
      <c r="J23" s="42" t="s">
        <v>108</v>
      </c>
      <c r="L23" s="50"/>
    </row>
    <row r="24" spans="1:12" ht="11.25" customHeight="1" x14ac:dyDescent="0.25">
      <c r="A24" s="42" t="s">
        <v>129</v>
      </c>
      <c r="B24" s="42" t="s">
        <v>115</v>
      </c>
      <c r="C24" s="42" t="s">
        <v>111</v>
      </c>
      <c r="D24" s="49" t="s">
        <v>136</v>
      </c>
      <c r="E24" s="42" t="s">
        <v>134</v>
      </c>
      <c r="F24" s="44">
        <v>39868</v>
      </c>
      <c r="G24" s="44">
        <v>45102</v>
      </c>
      <c r="H24" s="44">
        <v>41463</v>
      </c>
      <c r="I24" s="44">
        <v>45102</v>
      </c>
      <c r="J24" s="42" t="s">
        <v>108</v>
      </c>
      <c r="L24" s="50"/>
    </row>
    <row r="25" spans="1:12" ht="11.25" customHeight="1" x14ac:dyDescent="0.25">
      <c r="A25" s="42" t="s">
        <v>129</v>
      </c>
      <c r="B25" s="42" t="s">
        <v>115</v>
      </c>
      <c r="C25" s="42" t="s">
        <v>113</v>
      </c>
      <c r="D25" s="49" t="s">
        <v>137</v>
      </c>
      <c r="E25" s="42" t="s">
        <v>134</v>
      </c>
      <c r="F25" s="44">
        <v>39868</v>
      </c>
      <c r="G25" s="44">
        <v>47104</v>
      </c>
      <c r="H25" s="44">
        <v>41463</v>
      </c>
      <c r="I25" s="44">
        <v>47104</v>
      </c>
      <c r="J25" s="42" t="s">
        <v>108</v>
      </c>
      <c r="L25" s="50"/>
    </row>
    <row r="26" spans="1:12" ht="11.25" customHeight="1" x14ac:dyDescent="0.25">
      <c r="A26" s="42" t="s">
        <v>138</v>
      </c>
      <c r="B26" s="42" t="s">
        <v>105</v>
      </c>
      <c r="C26" s="42" t="s">
        <v>106</v>
      </c>
      <c r="D26" s="49" t="s">
        <v>139</v>
      </c>
      <c r="E26" s="42" t="s">
        <v>139</v>
      </c>
      <c r="F26" s="44">
        <v>37174</v>
      </c>
      <c r="G26" s="44">
        <v>40403</v>
      </c>
      <c r="H26" s="44">
        <v>38661</v>
      </c>
      <c r="I26" s="44">
        <v>42019</v>
      </c>
      <c r="J26" s="42" t="s">
        <v>108</v>
      </c>
      <c r="L26" s="50"/>
    </row>
    <row r="27" spans="1:12" ht="11.25" customHeight="1" x14ac:dyDescent="0.25">
      <c r="A27" s="42" t="s">
        <v>138</v>
      </c>
      <c r="B27" s="42" t="s">
        <v>105</v>
      </c>
      <c r="C27" s="42" t="s">
        <v>111</v>
      </c>
      <c r="D27" s="49" t="s">
        <v>140</v>
      </c>
      <c r="E27" s="42" t="s">
        <v>139</v>
      </c>
      <c r="F27" s="44">
        <v>37174</v>
      </c>
      <c r="G27" s="44">
        <v>42107</v>
      </c>
      <c r="H27" s="44">
        <v>38661</v>
      </c>
      <c r="I27" s="44">
        <v>42107</v>
      </c>
      <c r="J27" s="42" t="s">
        <v>108</v>
      </c>
      <c r="L27" s="50"/>
    </row>
    <row r="28" spans="1:12" ht="11.25" customHeight="1" x14ac:dyDescent="0.25">
      <c r="A28" s="42" t="s">
        <v>138</v>
      </c>
      <c r="B28" s="42" t="s">
        <v>115</v>
      </c>
      <c r="C28" s="42" t="s">
        <v>106</v>
      </c>
      <c r="D28" s="42" t="s">
        <v>141</v>
      </c>
      <c r="E28" s="42" t="s">
        <v>141</v>
      </c>
      <c r="F28" s="44">
        <v>32827</v>
      </c>
      <c r="G28" s="44">
        <v>35678</v>
      </c>
      <c r="H28" s="44">
        <v>34140</v>
      </c>
      <c r="I28" s="44">
        <v>37105</v>
      </c>
      <c r="J28" s="42" t="s">
        <v>108</v>
      </c>
      <c r="L28" s="50"/>
    </row>
    <row r="29" spans="1:12" ht="11.25" customHeight="1" x14ac:dyDescent="0.25">
      <c r="A29" s="42" t="s">
        <v>138</v>
      </c>
      <c r="B29" s="42" t="s">
        <v>115</v>
      </c>
      <c r="C29" s="42" t="s">
        <v>111</v>
      </c>
      <c r="D29" s="42" t="s">
        <v>142</v>
      </c>
      <c r="E29" s="42" t="s">
        <v>141</v>
      </c>
      <c r="F29" s="44">
        <v>32827</v>
      </c>
      <c r="G29" s="44">
        <v>37412</v>
      </c>
      <c r="H29" s="44">
        <v>34140</v>
      </c>
      <c r="I29" s="44">
        <v>37412</v>
      </c>
      <c r="J29" s="42" t="s">
        <v>108</v>
      </c>
      <c r="L29" s="50"/>
    </row>
    <row r="30" spans="1:12" ht="11.25" customHeight="1" x14ac:dyDescent="0.25">
      <c r="A30" s="42" t="s">
        <v>143</v>
      </c>
      <c r="B30" s="42" t="s">
        <v>105</v>
      </c>
      <c r="C30" s="42" t="s">
        <v>106</v>
      </c>
      <c r="D30" s="42" t="s">
        <v>144</v>
      </c>
      <c r="E30" s="42" t="s">
        <v>144</v>
      </c>
      <c r="F30" s="44">
        <v>31169</v>
      </c>
      <c r="G30" s="44">
        <v>32760</v>
      </c>
      <c r="H30" s="44">
        <v>32416</v>
      </c>
      <c r="I30" s="44">
        <v>34361</v>
      </c>
      <c r="J30" s="42" t="s">
        <v>108</v>
      </c>
      <c r="L30" s="50"/>
    </row>
    <row r="31" spans="1:12" ht="11.25" customHeight="1" x14ac:dyDescent="0.25">
      <c r="A31" s="42" t="s">
        <v>143</v>
      </c>
      <c r="B31" s="42" t="s">
        <v>105</v>
      </c>
      <c r="C31" s="42" t="s">
        <v>111</v>
      </c>
      <c r="D31" s="42" t="s">
        <v>145</v>
      </c>
      <c r="E31" s="42" t="s">
        <v>144</v>
      </c>
      <c r="F31" s="44">
        <v>31169</v>
      </c>
      <c r="G31" s="44">
        <v>33252</v>
      </c>
      <c r="H31" s="44">
        <v>32416</v>
      </c>
      <c r="I31" s="44">
        <v>33252</v>
      </c>
      <c r="J31" s="42" t="s">
        <v>108</v>
      </c>
      <c r="L31" s="50"/>
    </row>
    <row r="32" spans="1:12" ht="11.25" customHeight="1" x14ac:dyDescent="0.25">
      <c r="A32" s="42" t="s">
        <v>143</v>
      </c>
      <c r="B32" s="42" t="s">
        <v>115</v>
      </c>
      <c r="C32" s="42" t="s">
        <v>106</v>
      </c>
      <c r="D32" s="42" t="s">
        <v>146</v>
      </c>
      <c r="E32" s="42" t="s">
        <v>146</v>
      </c>
      <c r="F32" s="44">
        <v>27223</v>
      </c>
      <c r="G32" s="44">
        <v>28613</v>
      </c>
      <c r="H32" s="44">
        <v>28312</v>
      </c>
      <c r="I32" s="44">
        <v>30011</v>
      </c>
      <c r="J32" s="42" t="s">
        <v>108</v>
      </c>
      <c r="L32" s="50"/>
    </row>
    <row r="33" spans="1:12" ht="11.25" customHeight="1" x14ac:dyDescent="0.25">
      <c r="A33" s="42" t="s">
        <v>143</v>
      </c>
      <c r="B33" s="42" t="s">
        <v>115</v>
      </c>
      <c r="C33" s="42" t="s">
        <v>111</v>
      </c>
      <c r="D33" s="42" t="s">
        <v>147</v>
      </c>
      <c r="E33" s="42" t="s">
        <v>146</v>
      </c>
      <c r="F33" s="44">
        <v>27223</v>
      </c>
      <c r="G33" s="44">
        <v>29487</v>
      </c>
      <c r="H33" s="44">
        <v>28312</v>
      </c>
      <c r="I33" s="44">
        <v>29487</v>
      </c>
      <c r="J33" s="42" t="s">
        <v>108</v>
      </c>
      <c r="L33" s="50"/>
    </row>
    <row r="34" spans="1:12" ht="11.25" customHeight="1" x14ac:dyDescent="0.25">
      <c r="A34" s="42" t="s">
        <v>148</v>
      </c>
      <c r="B34" s="42" t="s">
        <v>105</v>
      </c>
      <c r="C34" s="42" t="s">
        <v>106</v>
      </c>
      <c r="D34" s="42" t="s">
        <v>149</v>
      </c>
      <c r="E34" s="42" t="s">
        <v>149</v>
      </c>
      <c r="F34" s="44">
        <v>27000</v>
      </c>
      <c r="G34" s="44">
        <v>27000</v>
      </c>
      <c r="H34" s="44">
        <v>28485</v>
      </c>
      <c r="I34" s="44">
        <v>28485</v>
      </c>
      <c r="L34" s="50"/>
    </row>
    <row r="35" spans="1:12" ht="11.25" customHeight="1" x14ac:dyDescent="0.25">
      <c r="A35" s="42" t="s">
        <v>148</v>
      </c>
      <c r="B35" s="42" t="s">
        <v>115</v>
      </c>
      <c r="C35" s="42" t="s">
        <v>106</v>
      </c>
      <c r="D35" s="42" t="s">
        <v>150</v>
      </c>
      <c r="E35" s="42" t="s">
        <v>150</v>
      </c>
      <c r="F35" s="44">
        <v>22940</v>
      </c>
      <c r="G35" s="44">
        <v>22940</v>
      </c>
      <c r="H35" s="44">
        <v>24202</v>
      </c>
      <c r="I35" s="44">
        <v>24202</v>
      </c>
      <c r="L35" s="50"/>
    </row>
    <row r="36" spans="1:12" ht="11.25" customHeight="1" x14ac:dyDescent="0.25">
      <c r="A36" s="42" t="s">
        <v>151</v>
      </c>
      <c r="B36" s="42" t="s">
        <v>105</v>
      </c>
      <c r="C36" s="42" t="s">
        <v>106</v>
      </c>
      <c r="D36" s="42" t="s">
        <v>152</v>
      </c>
      <c r="E36" s="42" t="s">
        <v>152</v>
      </c>
      <c r="F36" s="44">
        <v>24250</v>
      </c>
      <c r="G36" s="44">
        <v>24250</v>
      </c>
      <c r="H36" s="44">
        <v>25584</v>
      </c>
      <c r="I36" s="44">
        <v>25584</v>
      </c>
      <c r="L36" s="50"/>
    </row>
    <row r="37" spans="1:12" ht="11.25" customHeight="1" x14ac:dyDescent="0.25">
      <c r="A37" s="42" t="s">
        <v>151</v>
      </c>
      <c r="B37" s="42" t="s">
        <v>115</v>
      </c>
      <c r="C37" s="42" t="s">
        <v>106</v>
      </c>
      <c r="D37" s="42" t="s">
        <v>10</v>
      </c>
      <c r="E37" s="42" t="s">
        <v>10</v>
      </c>
      <c r="F37" s="44">
        <v>22096</v>
      </c>
      <c r="G37" s="44">
        <v>22096</v>
      </c>
      <c r="H37" s="44">
        <v>23311</v>
      </c>
      <c r="I37" s="44">
        <v>23311</v>
      </c>
      <c r="L37" s="50"/>
    </row>
    <row r="40" spans="1:12" ht="11.25" customHeight="1" x14ac:dyDescent="0.25">
      <c r="D40" s="42" t="s">
        <v>153</v>
      </c>
    </row>
    <row r="44" spans="1:12" ht="11.25" customHeight="1" x14ac:dyDescent="0.25">
      <c r="D44" s="43"/>
    </row>
    <row r="45" spans="1:12" ht="11.25" customHeight="1" x14ac:dyDescent="0.25">
      <c r="D45" s="49"/>
    </row>
    <row r="46" spans="1:12" ht="11.25" customHeight="1" x14ac:dyDescent="0.25">
      <c r="D46" s="49"/>
    </row>
    <row r="47" spans="1:12" ht="11.25" customHeight="1" x14ac:dyDescent="0.25">
      <c r="D47" s="49"/>
    </row>
    <row r="48" spans="1:12" ht="11.25" customHeight="1" x14ac:dyDescent="0.25">
      <c r="D48" s="49"/>
    </row>
    <row r="49" spans="4:4" ht="11.25" customHeight="1" x14ac:dyDescent="0.25">
      <c r="D49" s="49"/>
    </row>
    <row r="50" spans="4:4" ht="11.25" customHeight="1" x14ac:dyDescent="0.25">
      <c r="D50" s="49"/>
    </row>
    <row r="51" spans="4:4" ht="11.25" customHeight="1" x14ac:dyDescent="0.25">
      <c r="D51" s="49"/>
    </row>
    <row r="52" spans="4:4" ht="11.25" customHeight="1" x14ac:dyDescent="0.25">
      <c r="D52" s="49"/>
    </row>
    <row r="53" spans="4:4" ht="11.25" customHeight="1" x14ac:dyDescent="0.25">
      <c r="D53" s="49"/>
    </row>
    <row r="54" spans="4:4" ht="11.25" customHeight="1" x14ac:dyDescent="0.25">
      <c r="D54" s="49"/>
    </row>
    <row r="55" spans="4:4" ht="11.25" customHeight="1" x14ac:dyDescent="0.25">
      <c r="D55" s="49"/>
    </row>
    <row r="56" spans="4:4" ht="11.25" customHeight="1" x14ac:dyDescent="0.25">
      <c r="D56" s="49"/>
    </row>
    <row r="57" spans="4:4" ht="11.25" customHeight="1" x14ac:dyDescent="0.25">
      <c r="D57" s="49"/>
    </row>
    <row r="58" spans="4:4" ht="11.25" customHeight="1" x14ac:dyDescent="0.25">
      <c r="D58" s="49"/>
    </row>
    <row r="59" spans="4:4" ht="11.25" customHeight="1" x14ac:dyDescent="0.25">
      <c r="D59" s="49"/>
    </row>
    <row r="60" spans="4:4" ht="11.25" customHeight="1" x14ac:dyDescent="0.25">
      <c r="D60" s="49"/>
    </row>
    <row r="61" spans="4:4" ht="11.25" customHeight="1" x14ac:dyDescent="0.25">
      <c r="D61" s="49"/>
    </row>
    <row r="62" spans="4:4" ht="11.25" customHeight="1" x14ac:dyDescent="0.25">
      <c r="D62" s="49"/>
    </row>
    <row r="63" spans="4:4" ht="11.25" customHeight="1" x14ac:dyDescent="0.25">
      <c r="D63" s="49"/>
    </row>
    <row r="64" spans="4:4" ht="11.25" customHeight="1" x14ac:dyDescent="0.25">
      <c r="D64" s="49"/>
    </row>
    <row r="65" spans="4:4" ht="11.25" customHeight="1" x14ac:dyDescent="0.25">
      <c r="D65" s="49"/>
    </row>
    <row r="66" spans="4:4" ht="11.25" customHeight="1" x14ac:dyDescent="0.25">
      <c r="D66" s="49"/>
    </row>
    <row r="67" spans="4:4" ht="11.25" customHeight="1" x14ac:dyDescent="0.25">
      <c r="D67" s="49"/>
    </row>
    <row r="68" spans="4:4" ht="11.25" customHeight="1" x14ac:dyDescent="0.25">
      <c r="D68" s="49"/>
    </row>
    <row r="69" spans="4:4" ht="11.25" customHeight="1" x14ac:dyDescent="0.25">
      <c r="D69" s="49"/>
    </row>
    <row r="70" spans="4:4" ht="11.25" customHeight="1" x14ac:dyDescent="0.25">
      <c r="D70" s="49"/>
    </row>
    <row r="71" spans="4:4" ht="11.25" customHeight="1" x14ac:dyDescent="0.25">
      <c r="D71" s="49"/>
    </row>
    <row r="72" spans="4:4" ht="11.25" customHeight="1" x14ac:dyDescent="0.25">
      <c r="D72" s="49"/>
    </row>
  </sheetData>
  <autoFilter ref="A1:I37" xr:uid="{05E06E9D-BC23-4FE9-A392-112B659EE8D1}">
    <sortState xmlns:xlrd2="http://schemas.microsoft.com/office/spreadsheetml/2017/richdata2" ref="A2:I37">
      <sortCondition ref="A2:A37" customList="Grade 6,Grade 7,SEO,HEO,EO,AO,AA"/>
      <sortCondition ref="B2:B37"/>
      <sortCondition ref="C2:C37"/>
    </sortState>
  </autoFilter>
  <pageMargins left="0.7" right="0.7" top="0.75" bottom="0.75" header="0.3" footer="0.3"/>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B4A6C-B1EB-42D2-8D45-23CAD9E1106A}">
  <sheetPr codeName="Sheet6"/>
  <dimension ref="A1:B7"/>
  <sheetViews>
    <sheetView zoomScale="205" zoomScaleNormal="205" workbookViewId="0"/>
  </sheetViews>
  <sheetFormatPr defaultColWidth="10.85546875" defaultRowHeight="15" x14ac:dyDescent="0.25"/>
  <cols>
    <col min="1" max="16384" width="10.85546875" style="42"/>
  </cols>
  <sheetData>
    <row r="1" spans="1:2" x14ac:dyDescent="0.25">
      <c r="A1" s="51" t="s">
        <v>154</v>
      </c>
      <c r="B1" s="52"/>
    </row>
    <row r="2" spans="1:2" x14ac:dyDescent="0.25">
      <c r="A2" s="52" t="s">
        <v>155</v>
      </c>
      <c r="B2" s="53">
        <v>1</v>
      </c>
    </row>
    <row r="3" spans="1:2" x14ac:dyDescent="0.25">
      <c r="A3" s="52" t="s">
        <v>156</v>
      </c>
      <c r="B3" s="45">
        <v>0.05</v>
      </c>
    </row>
    <row r="5" spans="1:2" x14ac:dyDescent="0.25">
      <c r="A5" s="42" t="s">
        <v>157</v>
      </c>
    </row>
    <row r="6" spans="1:2" x14ac:dyDescent="0.25">
      <c r="A6" s="42" t="str">
        <f>IF(Calculations!R32,
IF(Calculations!N32&gt;IF(Calculations!T32=TRUE,Calculations!AJ32,Calculations!AH32), "Your current pay is above the pay band maximum for 2023/24 (" &amp; TEXT(IF(Calculations!T32=TRUE,Calculations!AJ32,Calculations!AH32), "£0,000") &amp; ") - Please check",""), "")</f>
        <v/>
      </c>
    </row>
    <row r="7" spans="1:2" x14ac:dyDescent="0.25">
      <c r="A7" s="42" t="str">
        <f>IF(Calculations!R32,
IF(Calculations!N32&lt;IF(Calculations!T32=TRUE,Calculations!AI32,Calculations!AG32), "Your current pay is below the pay band minimum for 2023/24 (" &amp; TEXT(IF(Calculations!T32=TRUE,Calculations!AI32,Calculations!AG32), "£0,000") &amp; ") - Please check",""), "")</f>
        <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55B0AEEA2B28D4FB541E81CA96E23C5" ma:contentTypeVersion="17" ma:contentTypeDescription="Create a new document." ma:contentTypeScope="" ma:versionID="7239df60f1c84db456e6c1c6deda88ab">
  <xsd:schema xmlns:xsd="http://www.w3.org/2001/XMLSchema" xmlns:xs="http://www.w3.org/2001/XMLSchema" xmlns:p="http://schemas.microsoft.com/office/2006/metadata/properties" xmlns:ns2="561d5450-82ab-4a80-ac34-281d6eb12701" xmlns:ns3="35e98bec-8606-4097-abe4-d9e666e3c8cc" targetNamespace="http://schemas.microsoft.com/office/2006/metadata/properties" ma:root="true" ma:fieldsID="4b94894950ff556ca4b89dbc31c2a674" ns2:_="" ns3:_="">
    <xsd:import namespace="561d5450-82ab-4a80-ac34-281d6eb12701"/>
    <xsd:import namespace="35e98bec-8606-4097-abe4-d9e666e3c8c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MediaServiceObjectDetectorVersions" minOccurs="0"/>
                <xsd:element ref="ns2:MediaServiceDateTaken" minOccurs="0"/>
                <xsd:element ref="ns2:lcf76f155ced4ddcb4097134ff3c332f" minOccurs="0"/>
                <xsd:element ref="ns3:TaxCatchAll"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1d5450-82ab-4a80-ac34-281d6eb127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95b7e4bc-7c04-4239-a3c8-056ff7db7bf8" ma:termSetId="09814cd3-568e-fe90-9814-8d621ff8fb84" ma:anchorId="fba54fb3-c3e1-fe81-a776-ca4b69148c4d" ma:open="true" ma:isKeyword="false">
      <xsd:complexType>
        <xsd:sequence>
          <xsd:element ref="pc:Terms" minOccurs="0" maxOccurs="1"/>
        </xsd:sequence>
      </xsd:complex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5e98bec-8606-4097-abe4-d9e666e3c8cc"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84d3844b-b716-4985-8f03-b4a5cb238fdd}" ma:internalName="TaxCatchAll" ma:showField="CatchAllData" ma:web="35e98bec-8606-4097-abe4-d9e666e3c8c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35e98bec-8606-4097-abe4-d9e666e3c8cc" xsi:nil="true"/>
    <lcf76f155ced4ddcb4097134ff3c332f xmlns="561d5450-82ab-4a80-ac34-281d6eb12701">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8DC5C8E-04F6-4DA7-A099-5F9189EEE96D}">
  <ds:schemaRefs>
    <ds:schemaRef ds:uri="http://schemas.microsoft.com/sharepoint/v3/contenttype/forms"/>
  </ds:schemaRefs>
</ds:datastoreItem>
</file>

<file path=customXml/itemProps2.xml><?xml version="1.0" encoding="utf-8"?>
<ds:datastoreItem xmlns:ds="http://schemas.openxmlformats.org/officeDocument/2006/customXml" ds:itemID="{34CCDB0B-7AA1-4472-BA0B-C381BE0308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1d5450-82ab-4a80-ac34-281d6eb12701"/>
    <ds:schemaRef ds:uri="35e98bec-8606-4097-abe4-d9e666e3c8c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21B642A-9C98-4F4A-BF2E-5C289755E37B}">
  <ds:schemaRefs>
    <ds:schemaRef ds:uri="http://schemas.microsoft.com/office/2006/metadata/properties"/>
    <ds:schemaRef ds:uri="http://purl.org/dc/elements/1.1/"/>
    <ds:schemaRef ds:uri="http://purl.org/dc/dcmitype/"/>
    <ds:schemaRef ds:uri="561d5450-82ab-4a80-ac34-281d6eb12701"/>
    <ds:schemaRef ds:uri="http://schemas.microsoft.com/office/2006/documentManagement/types"/>
    <ds:schemaRef ds:uri="35e98bec-8606-4097-abe4-d9e666e3c8cc"/>
    <ds:schemaRef ds:uri="http://schemas.openxmlformats.org/package/2006/metadata/core-properties"/>
    <ds:schemaRef ds:uri="http://schemas.microsoft.com/office/infopath/2007/PartnerControl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Guidance</vt:lpstr>
      <vt:lpstr>Pay Calculator</vt:lpstr>
      <vt:lpstr>old_payrange_max</vt:lpstr>
    </vt:vector>
  </TitlesOfParts>
  <Manager/>
  <Company>MOJ</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Bari, Shaz</cp:lastModifiedBy>
  <cp:revision/>
  <dcterms:created xsi:type="dcterms:W3CDTF">2023-07-11T10:02:33Z</dcterms:created>
  <dcterms:modified xsi:type="dcterms:W3CDTF">2024-10-02T12:07:11Z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0x010100555B0AEEA2B28D4FB541E81CA96E23C5</vt:lpwstr>
  </property>
  <property fmtid="{D5CDD505-2E9C-101B-9397-08002B2CF9AE}" pid="3" name="MediaServiceImageTags">
    <vt:lpwstr/>
  </property>
</Properties>
</file>